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bradfritz1/Dropbox/BKF 128/Critical Folders/Aerial Nozzle Models Dist. Versions/"/>
    </mc:Choice>
  </mc:AlternateContent>
  <xr:revisionPtr revIDLastSave="0" documentId="13_ncr:1_{E6A575CB-FAE4-8D42-871D-6936E8824D6E}" xr6:coauthVersionLast="47" xr6:coauthVersionMax="47" xr10:uidLastSave="{00000000-0000-0000-0000-000000000000}"/>
  <bookViews>
    <workbookView xWindow="7260" yWindow="1500" windowWidth="37320" windowHeight="23760" tabRatio="785" xr2:uid="{00000000-000D-0000-FFFF-FFFF00000000}"/>
  </bookViews>
  <sheets>
    <sheet name="Atomization Model" sheetId="1" r:id="rId1"/>
    <sheet name="Model Parameters" sheetId="2" r:id="rId2"/>
    <sheet name="Reference Nozzles" sheetId="3" r:id="rId3"/>
    <sheet name="Nozzle Flow Rates" sheetId="4" r:id="rId4"/>
    <sheet name="Reference Nozzles S572.3" sheetId="5" r:id="rId5"/>
  </sheets>
  <definedNames>
    <definedName name="_xlnm._FilterDatabase" localSheetId="0" hidden="1">'Atomization Model'!$U$22:$U$25</definedName>
    <definedName name="_xlnm._FilterDatabase" localSheetId="1" hidden="1">'Model Parameters'!#REF!</definedName>
    <definedName name="_xlnm._FilterDatabase" localSheetId="2" hidden="1">'Reference Nozzles'!$D$1:$L$61</definedName>
    <definedName name="Airspeed">'Model Parameters'!$A$226:$P$244</definedName>
    <definedName name="Airspeeds">'Model Parameters'!$A$2:$B$20</definedName>
    <definedName name="Angle">'Model Parameters'!$A$205:$P$223</definedName>
    <definedName name="CCDFactors">'Model Parameters'!$A$29:$I$51</definedName>
    <definedName name="CVC">'Reference Nozzles'!#REF!</definedName>
    <definedName name="DV0.1">'Model Parameters'!$A$57:$P$75</definedName>
    <definedName name="DV0.5">'Model Parameters'!$A$78:$P$96</definedName>
    <definedName name="DV0.9">'Model Parameters'!$A$99:$P$117</definedName>
    <definedName name="Fixed_Wing___40°_FF_Lg_Orifice">'Atomization Model'!$G$6</definedName>
    <definedName name="FM">'Reference Nozzles'!#REF!</definedName>
    <definedName name="FW40FFLG">'Model Parameters'!$B$56:$P$57</definedName>
    <definedName name="Less100">'Model Parameters'!$A$121:$P$139</definedName>
    <definedName name="Less200">'Model Parameters'!$A$142:$P$160</definedName>
    <definedName name="MC">'Reference Nozzles'!#REF!</definedName>
    <definedName name="NFRTab">'Nozzle Flow Rates'!$C$2:$E$105</definedName>
    <definedName name="Orifice">'Model Parameters'!$A$184:$P$202</definedName>
    <definedName name="_xlnm.Print_Area" localSheetId="0">'Atomization Model'!$B$2:$T$44</definedName>
    <definedName name="RS">'Model Parameters'!#REF!</definedName>
    <definedName name="VCXC">'Reference Nozzles'!#REF!</definedName>
    <definedName name="VFF">'Reference Nozzles'!#REF!</definedName>
  </definedNames>
  <calcPr calcId="191028"/>
  <customWorkbookViews>
    <customWorkbookView name="Administrator - Personal View" guid="{CD17FB03-8870-11D2-8172-00C04FC29620}" mergeInterval="0" personalView="1" maximized="1" windowWidth="1276" windowHeight="835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5" l="1"/>
  <c r="H9" i="5"/>
  <c r="H8" i="5"/>
  <c r="C97" i="4" l="1"/>
  <c r="C98" i="4"/>
  <c r="C99" i="4"/>
  <c r="C100" i="4"/>
  <c r="C101" i="4"/>
  <c r="C102" i="4"/>
  <c r="C103" i="4"/>
  <c r="C104" i="4"/>
  <c r="C105" i="4"/>
  <c r="C92" i="4"/>
  <c r="C93" i="4"/>
  <c r="C94" i="4"/>
  <c r="C95" i="4"/>
  <c r="C96" i="4"/>
  <c r="C91" i="4"/>
  <c r="C90" i="4"/>
  <c r="C89" i="4"/>
  <c r="C88" i="4"/>
  <c r="A240" i="2"/>
  <c r="A219" i="2"/>
  <c r="A198" i="2"/>
  <c r="A134" i="2"/>
  <c r="A135" i="2"/>
  <c r="A113" i="2"/>
  <c r="A71" i="2"/>
  <c r="A43" i="2"/>
  <c r="A42" i="2"/>
  <c r="C14" i="5" l="1"/>
  <c r="B14" i="5"/>
  <c r="B13" i="5"/>
  <c r="C13" i="5"/>
  <c r="B16" i="5" s="1"/>
  <c r="B15" i="5"/>
  <c r="C15" i="5"/>
  <c r="E14" i="2" l="1"/>
  <c r="E16" i="2"/>
  <c r="E15" i="2"/>
  <c r="E17" i="2"/>
  <c r="O21" i="4"/>
  <c r="L22" i="4"/>
  <c r="L23" i="4" s="1"/>
  <c r="D38" i="1" s="1"/>
  <c r="O20" i="4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E23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64" i="2"/>
  <c r="K15" i="4"/>
  <c r="K14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L21" i="4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I7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I15" i="1"/>
  <c r="S15" i="2"/>
  <c r="S16" i="2"/>
  <c r="S17" i="2"/>
  <c r="S18" i="2"/>
  <c r="S19" i="2"/>
  <c r="S20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P23" i="2"/>
  <c r="P18" i="2"/>
  <c r="S22" i="2"/>
  <c r="S23" i="2"/>
  <c r="S24" i="2"/>
  <c r="S25" i="2"/>
  <c r="S26" i="2"/>
  <c r="S21" i="2"/>
  <c r="A144" i="2"/>
  <c r="A143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Q9" i="2"/>
  <c r="I9" i="2"/>
  <c r="N9" i="2"/>
  <c r="R9" i="2"/>
  <c r="G9" i="2"/>
  <c r="F9" i="2"/>
  <c r="A227" i="2"/>
  <c r="A228" i="2"/>
  <c r="A226" i="2"/>
  <c r="A229" i="2"/>
  <c r="A230" i="2"/>
  <c r="A231" i="2"/>
  <c r="A232" i="2"/>
  <c r="A233" i="2"/>
  <c r="A234" i="2"/>
  <c r="A235" i="2"/>
  <c r="A236" i="2"/>
  <c r="A237" i="2"/>
  <c r="A238" i="2"/>
  <c r="A239" i="2"/>
  <c r="Q15" i="2"/>
  <c r="Q21" i="2"/>
  <c r="Q18" i="2"/>
  <c r="A122" i="2"/>
  <c r="A123" i="2"/>
  <c r="A124" i="2"/>
  <c r="A125" i="2"/>
  <c r="A121" i="2"/>
  <c r="A126" i="2"/>
  <c r="A127" i="2"/>
  <c r="A128" i="2"/>
  <c r="A129" i="2"/>
  <c r="A130" i="2"/>
  <c r="A131" i="2"/>
  <c r="A132" i="2"/>
  <c r="A133" i="2"/>
  <c r="E8" i="2"/>
  <c r="H8" i="2"/>
  <c r="G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P15" i="1"/>
  <c r="F8" i="2"/>
  <c r="A78" i="2"/>
  <c r="K6" i="2"/>
  <c r="A57" i="2"/>
  <c r="M5" i="2"/>
  <c r="Q14" i="2"/>
  <c r="F15" i="1"/>
  <c r="I14" i="1"/>
  <c r="S14" i="2"/>
  <c r="P8" i="2"/>
  <c r="Q20" i="2"/>
  <c r="N8" i="1"/>
  <c r="Q23" i="2"/>
  <c r="Q25" i="2"/>
  <c r="P20" i="2"/>
  <c r="M8" i="2"/>
  <c r="J8" i="2"/>
  <c r="H9" i="2"/>
  <c r="K9" i="2"/>
  <c r="P21" i="2"/>
  <c r="P19" i="2"/>
  <c r="P7" i="2"/>
  <c r="H7" i="2"/>
  <c r="R6" i="2"/>
  <c r="J6" i="2"/>
  <c r="L5" i="2"/>
  <c r="H5" i="2"/>
  <c r="O7" i="2"/>
  <c r="G7" i="2"/>
  <c r="Q6" i="2"/>
  <c r="I6" i="2"/>
  <c r="S5" i="2"/>
  <c r="K5" i="2"/>
  <c r="G5" i="2"/>
  <c r="F22" i="2"/>
  <c r="P26" i="2"/>
  <c r="P17" i="2"/>
  <c r="N7" i="2"/>
  <c r="F7" i="2"/>
  <c r="P6" i="2"/>
  <c r="H6" i="2"/>
  <c r="R5" i="2"/>
  <c r="J5" i="2"/>
  <c r="F5" i="2"/>
  <c r="E22" i="2"/>
  <c r="P22" i="2"/>
  <c r="P14" i="2"/>
  <c r="P9" i="2"/>
  <c r="P27" i="2"/>
  <c r="Q26" i="2"/>
  <c r="N8" i="2"/>
  <c r="S8" i="2"/>
  <c r="I8" i="2"/>
  <c r="Q22" i="2"/>
  <c r="R8" i="2"/>
  <c r="L9" i="2"/>
  <c r="O9" i="2"/>
  <c r="P25" i="2"/>
  <c r="P16" i="2"/>
  <c r="M7" i="2"/>
  <c r="E7" i="2"/>
  <c r="O6" i="2"/>
  <c r="G6" i="2"/>
  <c r="Q5" i="2"/>
  <c r="I5" i="2"/>
  <c r="E5" i="2"/>
  <c r="Q17" i="2"/>
  <c r="Q16" i="2"/>
  <c r="S9" i="2"/>
  <c r="Q24" i="2"/>
  <c r="Q19" i="2"/>
  <c r="Q8" i="2"/>
  <c r="O8" i="2"/>
  <c r="E9" i="2"/>
  <c r="J9" i="2"/>
  <c r="P24" i="2"/>
  <c r="P15" i="2"/>
  <c r="L7" i="2"/>
  <c r="N6" i="2"/>
  <c r="F6" i="2"/>
  <c r="P5" i="2"/>
  <c r="L8" i="2"/>
  <c r="K8" i="2"/>
  <c r="M9" i="2"/>
  <c r="S7" i="2"/>
  <c r="K7" i="2"/>
  <c r="M6" i="2"/>
  <c r="E6" i="2"/>
  <c r="O5" i="2"/>
  <c r="F21" i="2"/>
  <c r="F20" i="2"/>
  <c r="E20" i="2"/>
  <c r="R7" i="2"/>
  <c r="J7" i="2"/>
  <c r="L6" i="2"/>
  <c r="N5" i="2"/>
  <c r="F23" i="2"/>
  <c r="E21" i="2"/>
  <c r="Q7" i="2"/>
  <c r="S6" i="2"/>
  <c r="K16" i="4"/>
  <c r="L18" i="4" l="1"/>
  <c r="K18" i="4"/>
  <c r="F17" i="2"/>
  <c r="F15" i="2"/>
  <c r="F16" i="2"/>
  <c r="F14" i="2"/>
  <c r="J13" i="2" l="1"/>
  <c r="K13" i="2" s="1"/>
  <c r="E20" i="1" s="1"/>
  <c r="H9" i="3" s="1"/>
  <c r="B14" i="3" s="1"/>
  <c r="E26" i="1" s="1"/>
  <c r="L20" i="4"/>
  <c r="D40" i="1" s="1"/>
  <c r="D42" i="1" s="1"/>
  <c r="J14" i="2"/>
  <c r="E21" i="1" s="1"/>
  <c r="H10" i="3" s="1"/>
  <c r="C15" i="3" s="1"/>
  <c r="J12" i="2"/>
  <c r="K12" i="2" s="1"/>
  <c r="E19" i="1" s="1"/>
  <c r="H8" i="3" s="1"/>
  <c r="C13" i="3" s="1"/>
  <c r="J17" i="2"/>
  <c r="K17" i="2" s="1"/>
  <c r="E24" i="1" s="1"/>
  <c r="J16" i="2"/>
  <c r="K16" i="2" s="1"/>
  <c r="E23" i="1" s="1"/>
  <c r="C14" i="3"/>
  <c r="B16" i="3" l="1"/>
  <c r="E28" i="1" s="1"/>
  <c r="B15" i="3"/>
  <c r="E27" i="1" s="1"/>
  <c r="E22" i="1"/>
  <c r="B13" i="3"/>
  <c r="E25" i="1" s="1"/>
</calcChain>
</file>

<file path=xl/sharedStrings.xml><?xml version="1.0" encoding="utf-8"?>
<sst xmlns="http://schemas.openxmlformats.org/spreadsheetml/2006/main" count="438" uniqueCount="156">
  <si>
    <t xml:space="preserve"> </t>
  </si>
  <si>
    <t>µm</t>
  </si>
  <si>
    <t>RS =</t>
  </si>
  <si>
    <t xml:space="preserve"> = Relative Span</t>
  </si>
  <si>
    <t>%</t>
  </si>
  <si>
    <t xml:space="preserve"> = Percentage of spray volume in droplets smaller than 100 µm diameter.</t>
  </si>
  <si>
    <t xml:space="preserve">CAUTION: Do not enter or clear data in the cells in this box! </t>
  </si>
  <si>
    <t>%V&lt;100µm</t>
  </si>
  <si>
    <t>%V&lt;100µm =</t>
  </si>
  <si>
    <t>%V&lt;200µm =</t>
  </si>
  <si>
    <t>Cumulative Volume Fraction</t>
  </si>
  <si>
    <t>Selection</t>
  </si>
  <si>
    <r>
      <t>D</t>
    </r>
    <r>
      <rPr>
        <b/>
        <vertAlign val="subscript"/>
        <sz val="10"/>
        <color indexed="63"/>
        <rFont val="Arial"/>
        <family val="2"/>
      </rPr>
      <t>V0.1</t>
    </r>
    <r>
      <rPr>
        <b/>
        <sz val="10"/>
        <color indexed="63"/>
        <rFont val="Arial"/>
        <family val="2"/>
      </rPr>
      <t xml:space="preserve"> =</t>
    </r>
  </si>
  <si>
    <r>
      <t xml:space="preserve"> = Droplet size such that 10% of the spray volume is in droplets smaller than D</t>
    </r>
    <r>
      <rPr>
        <b/>
        <vertAlign val="subscript"/>
        <sz val="10"/>
        <color indexed="63"/>
        <rFont val="Arial"/>
        <family val="2"/>
      </rPr>
      <t>V0.1</t>
    </r>
    <r>
      <rPr>
        <b/>
        <sz val="10"/>
        <color indexed="63"/>
        <rFont val="Arial"/>
        <family val="2"/>
      </rPr>
      <t>.</t>
    </r>
  </si>
  <si>
    <r>
      <t>D</t>
    </r>
    <r>
      <rPr>
        <b/>
        <vertAlign val="subscript"/>
        <sz val="10"/>
        <color indexed="63"/>
        <rFont val="Arial"/>
        <family val="2"/>
      </rPr>
      <t>V0.5</t>
    </r>
    <r>
      <rPr>
        <b/>
        <sz val="10"/>
        <color indexed="63"/>
        <rFont val="Arial"/>
        <family val="2"/>
      </rPr>
      <t xml:space="preserve"> =</t>
    </r>
  </si>
  <si>
    <r>
      <t>D</t>
    </r>
    <r>
      <rPr>
        <b/>
        <vertAlign val="subscript"/>
        <sz val="10"/>
        <color indexed="63"/>
        <rFont val="Arial"/>
        <family val="2"/>
      </rPr>
      <t>V0.9</t>
    </r>
    <r>
      <rPr>
        <b/>
        <sz val="10"/>
        <color indexed="63"/>
        <rFont val="Arial"/>
        <family val="2"/>
      </rPr>
      <t xml:space="preserve"> =</t>
    </r>
  </si>
  <si>
    <r>
      <t xml:space="preserve"> = Droplet size such that 90% of the spray volume is in droplets smaller than D</t>
    </r>
    <r>
      <rPr>
        <b/>
        <vertAlign val="subscript"/>
        <sz val="10"/>
        <color indexed="63"/>
        <rFont val="Arial"/>
        <family val="2"/>
      </rPr>
      <t>V0.9</t>
    </r>
    <r>
      <rPr>
        <b/>
        <sz val="10"/>
        <color indexed="63"/>
        <rFont val="Arial"/>
        <family val="2"/>
      </rPr>
      <t>.</t>
    </r>
  </si>
  <si>
    <r>
      <t xml:space="preserve"> = Droplet Spectra Classification based on D</t>
    </r>
    <r>
      <rPr>
        <b/>
        <vertAlign val="subscript"/>
        <sz val="10"/>
        <color indexed="63"/>
        <rFont val="Arial"/>
        <family val="2"/>
      </rPr>
      <t>V0.1</t>
    </r>
    <r>
      <rPr>
        <b/>
        <sz val="10"/>
        <color indexed="63"/>
        <rFont val="Arial"/>
        <family val="2"/>
      </rPr>
      <t>.</t>
    </r>
  </si>
  <si>
    <r>
      <t xml:space="preserve"> = Droplet Spectra Classification based on D</t>
    </r>
    <r>
      <rPr>
        <b/>
        <vertAlign val="subscript"/>
        <sz val="10"/>
        <color indexed="63"/>
        <rFont val="Arial"/>
        <family val="2"/>
      </rPr>
      <t>V0.5</t>
    </r>
    <r>
      <rPr>
        <b/>
        <sz val="10"/>
        <color indexed="63"/>
        <rFont val="Arial"/>
        <family val="2"/>
      </rPr>
      <t>.</t>
    </r>
  </si>
  <si>
    <t>DSC =</t>
  </si>
  <si>
    <t>Models Available</t>
  </si>
  <si>
    <t>VALID FOR AIRSPEEDS FROM</t>
  </si>
  <si>
    <t>Airspeed Ranges</t>
  </si>
  <si>
    <t>Calculation Block</t>
  </si>
  <si>
    <t>DV0.1</t>
  </si>
  <si>
    <t>DV0.5</t>
  </si>
  <si>
    <t>Active Model Parameters</t>
  </si>
  <si>
    <t>DV0.9</t>
  </si>
  <si>
    <t>Orifice</t>
  </si>
  <si>
    <t>Angle</t>
  </si>
  <si>
    <t>Airspeed</t>
  </si>
  <si>
    <t xml:space="preserve">  Orifice Size</t>
  </si>
  <si>
    <t>Nozzle Angle</t>
  </si>
  <si>
    <t xml:space="preserve">   Airspeed</t>
  </si>
  <si>
    <t xml:space="preserve">  Pressure</t>
  </si>
  <si>
    <t>Columns</t>
  </si>
  <si>
    <t>Pressure</t>
  </si>
  <si>
    <t>VF/F</t>
  </si>
  <si>
    <t>F/M</t>
  </si>
  <si>
    <t>M/C</t>
  </si>
  <si>
    <t>C/VC</t>
  </si>
  <si>
    <t>VC/XC</t>
  </si>
  <si>
    <t>DSCV0.1</t>
  </si>
  <si>
    <t>DSCV0.5</t>
  </si>
  <si>
    <t>DSC</t>
  </si>
  <si>
    <t>0 to 90</t>
  </si>
  <si>
    <t>STEP 1: SELECT NOZZLE MODEL USING PULL DOWN MENU</t>
  </si>
  <si>
    <t xml:space="preserve">STEP 2: SELECT NOZZLE OPERATING PARAMETERS FROM PULLDOWN MENUS BELOW.  </t>
  </si>
  <si>
    <t>Acceptable Ranges:</t>
  </si>
  <si>
    <t>Orf</t>
  </si>
  <si>
    <t>Ang</t>
  </si>
  <si>
    <t>Press</t>
  </si>
  <si>
    <t>AS</t>
  </si>
  <si>
    <t>120 to 180 MPH</t>
  </si>
  <si>
    <t>Intercept</t>
  </si>
  <si>
    <t>Orf*Press</t>
  </si>
  <si>
    <t>Orf*AS</t>
  </si>
  <si>
    <t>AS*Press</t>
  </si>
  <si>
    <t>Orf*Ang</t>
  </si>
  <si>
    <t>AS*Ang</t>
  </si>
  <si>
    <t>Press*Ang</t>
  </si>
  <si>
    <t>Orf^2</t>
  </si>
  <si>
    <t>AS^2</t>
  </si>
  <si>
    <t>Press^</t>
  </si>
  <si>
    <t>Ang^2</t>
  </si>
  <si>
    <t>30 to 90 psi</t>
  </si>
  <si>
    <t>Orf*CCD</t>
  </si>
  <si>
    <t>AS*CCD</t>
  </si>
  <si>
    <t>Press*CCD</t>
  </si>
  <si>
    <t>Ang*CCD</t>
  </si>
  <si>
    <t>CCDSub</t>
  </si>
  <si>
    <t>CCDDiv</t>
  </si>
  <si>
    <t>CCD Factors</t>
  </si>
  <si>
    <t>Orf Sub</t>
  </si>
  <si>
    <t>Orf Div</t>
  </si>
  <si>
    <t>AS Sub</t>
  </si>
  <si>
    <t>AS Div</t>
  </si>
  <si>
    <t>Press Sub</t>
  </si>
  <si>
    <t>Press Div</t>
  </si>
  <si>
    <t xml:space="preserve">Ang Sub </t>
  </si>
  <si>
    <t>Ang Div</t>
  </si>
  <si>
    <t xml:space="preserve">Actual </t>
  </si>
  <si>
    <t>CCD Adjusted</t>
  </si>
  <si>
    <t>4 to 20</t>
  </si>
  <si>
    <t>4 to 30</t>
  </si>
  <si>
    <t>Deflector</t>
  </si>
  <si>
    <t>2 to 16</t>
  </si>
  <si>
    <t>2 to 10</t>
  </si>
  <si>
    <r>
      <t>CP11TT 20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Flat Fan</t>
    </r>
  </si>
  <si>
    <t>CP11TT 80° Flat Fan</t>
  </si>
  <si>
    <t>CP03</t>
  </si>
  <si>
    <t>CP11TT 40° Flat Fan</t>
  </si>
  <si>
    <t>Steel Disc Core 45</t>
  </si>
  <si>
    <r>
      <t>Standard 40</t>
    </r>
    <r>
      <rPr>
        <sz val="10"/>
        <rFont val="Calibri"/>
        <family val="2"/>
      </rPr>
      <t>°</t>
    </r>
    <r>
      <rPr>
        <sz val="8.5"/>
        <rFont val="Arial"/>
        <family val="2"/>
      </rPr>
      <t xml:space="preserve"> Flat Fan</t>
    </r>
  </si>
  <si>
    <r>
      <t>Standard 80</t>
    </r>
    <r>
      <rPr>
        <sz val="10"/>
        <rFont val="Calibri"/>
        <family val="2"/>
      </rPr>
      <t>°</t>
    </r>
    <r>
      <rPr>
        <sz val="8.5"/>
        <rFont val="Arial"/>
        <family val="2"/>
      </rPr>
      <t xml:space="preserve"> Flat Fan</t>
    </r>
  </si>
  <si>
    <t>2 to 30</t>
  </si>
  <si>
    <t>CP09</t>
  </si>
  <si>
    <t>0.062 to 0.172</t>
  </si>
  <si>
    <t>CP11TT Straight Stream</t>
  </si>
  <si>
    <t>6 to 25</t>
  </si>
  <si>
    <t>0 to 45</t>
  </si>
  <si>
    <t>2 to 12</t>
  </si>
  <si>
    <t>Davidon TriSet</t>
  </si>
  <si>
    <t>0, 5, 30</t>
  </si>
  <si>
    <t>Disc Core Straight Stream</t>
  </si>
  <si>
    <t>Ceramic Disc Core 45</t>
  </si>
  <si>
    <t>%V&lt;200µm</t>
  </si>
  <si>
    <t xml:space="preserve"> = Percentage of spray volume in droplets smaller than 200 µm diameter.</t>
  </si>
  <si>
    <t>DSCV0.9</t>
  </si>
  <si>
    <r>
      <t>THE D</t>
    </r>
    <r>
      <rPr>
        <b/>
        <vertAlign val="subscript"/>
        <sz val="10"/>
        <color indexed="63"/>
        <rFont val="Arial"/>
        <family val="2"/>
      </rPr>
      <t>V0.9</t>
    </r>
    <r>
      <rPr>
        <b/>
        <sz val="10"/>
        <color indexed="63"/>
        <rFont val="Arial"/>
        <family val="2"/>
      </rPr>
      <t xml:space="preserve"> CLASSIFICATION SHOWN IS FOR REFERENCE ONLY, DOES NOT IMPACT DSC RATING.</t>
    </r>
  </si>
  <si>
    <t xml:space="preserve"> = Volume median diameter.  Droplet size such that 50% of the spray volume is in droplets smaller than DV0.5.</t>
  </si>
  <si>
    <t>Nozzle Body Angle</t>
  </si>
  <si>
    <t>The reference nozzle data below was measured in accordance with the ANSI/ASAE S572.1 "Spray Nozzle Classification by Droplet Spectra" Standard.</t>
  </si>
  <si>
    <t>The reference boundaries represent the mean data plus 1 standard deviation for DV0.1, DV0.5 and DV0.9 point for each DSC.</t>
  </si>
  <si>
    <t>Aerial Application Technology Research Unit, Agricultural Research Service, U. S. Department of Agriculture, 3103 F&amp;B Road, College Station, TX 77845, USA.</t>
  </si>
  <si>
    <t>30, 55, 90</t>
  </si>
  <si>
    <t>0.061 to 0.125</t>
  </si>
  <si>
    <t>USDA ARS  Aerial Application Technology Research Unit High Speed Spray Nozzle Models</t>
  </si>
  <si>
    <t>Nozzles - FR = a*(P)^b</t>
  </si>
  <si>
    <t>CP11TT 20° Flat Fan</t>
  </si>
  <si>
    <t>Helper</t>
  </si>
  <si>
    <t>a</t>
  </si>
  <si>
    <t>b</t>
  </si>
  <si>
    <t>NFR</t>
  </si>
  <si>
    <t>GPM</t>
  </si>
  <si>
    <t>Per Nozzle Flow Rate at Selected Operating Conditions</t>
  </si>
  <si>
    <t>ENTER DESIRED SPRAY RATE IN GALLONS PER ACRE (GPA)</t>
  </si>
  <si>
    <t>GPA</t>
  </si>
  <si>
    <t>Total Boom Flow Rate</t>
  </si>
  <si>
    <t>BFR</t>
  </si>
  <si>
    <t>ENTER DESIRED SWATH WIDTH IN FEET</t>
  </si>
  <si>
    <t>Feet</t>
  </si>
  <si>
    <t>swath</t>
  </si>
  <si>
    <t>SR</t>
  </si>
  <si>
    <t>mph</t>
  </si>
  <si>
    <t>Nozzles</t>
  </si>
  <si>
    <t>Total Number of Nozzle Needed</t>
  </si>
  <si>
    <t>Nozzle</t>
  </si>
  <si>
    <t>Standard 40° Flat Fan</t>
  </si>
  <si>
    <t>Standard 80° Flat Fan</t>
  </si>
  <si>
    <r>
      <t>D</t>
    </r>
    <r>
      <rPr>
        <b/>
        <vertAlign val="subscript"/>
        <sz val="14"/>
        <color indexed="63"/>
        <rFont val="Arial"/>
        <family val="2"/>
      </rPr>
      <t>V0.1</t>
    </r>
    <r>
      <rPr>
        <b/>
        <sz val="14"/>
        <color indexed="63"/>
        <rFont val="Arial"/>
        <family val="2"/>
      </rPr>
      <t xml:space="preserve"> =</t>
    </r>
  </si>
  <si>
    <r>
      <t>D</t>
    </r>
    <r>
      <rPr>
        <b/>
        <vertAlign val="subscript"/>
        <sz val="14"/>
        <color indexed="63"/>
        <rFont val="Arial"/>
        <family val="2"/>
      </rPr>
      <t>V0.5</t>
    </r>
    <r>
      <rPr>
        <b/>
        <sz val="14"/>
        <color indexed="63"/>
        <rFont val="Arial"/>
        <family val="2"/>
      </rPr>
      <t xml:space="preserve"> =</t>
    </r>
  </si>
  <si>
    <r>
      <t>D</t>
    </r>
    <r>
      <rPr>
        <b/>
        <vertAlign val="subscript"/>
        <sz val="14"/>
        <color indexed="63"/>
        <rFont val="Arial"/>
        <family val="2"/>
      </rPr>
      <t>V0.9</t>
    </r>
    <r>
      <rPr>
        <b/>
        <sz val="14"/>
        <color indexed="63"/>
        <rFont val="Arial"/>
        <family val="2"/>
      </rPr>
      <t xml:space="preserve"> =</t>
    </r>
  </si>
  <si>
    <r>
      <t>DSC</t>
    </r>
    <r>
      <rPr>
        <b/>
        <vertAlign val="subscript"/>
        <sz val="14"/>
        <color indexed="63"/>
        <rFont val="Arial"/>
        <family val="2"/>
      </rPr>
      <t>V0.1</t>
    </r>
    <r>
      <rPr>
        <b/>
        <sz val="14"/>
        <color indexed="63"/>
        <rFont val="Arial"/>
        <family val="2"/>
      </rPr>
      <t xml:space="preserve"> =</t>
    </r>
  </si>
  <si>
    <r>
      <t>DSC</t>
    </r>
    <r>
      <rPr>
        <b/>
        <vertAlign val="subscript"/>
        <sz val="14"/>
        <color indexed="63"/>
        <rFont val="Arial"/>
        <family val="2"/>
      </rPr>
      <t>V0.5</t>
    </r>
    <r>
      <rPr>
        <b/>
        <sz val="14"/>
        <color indexed="63"/>
        <rFont val="Arial"/>
        <family val="2"/>
      </rPr>
      <t xml:space="preserve"> =</t>
    </r>
  </si>
  <si>
    <r>
      <t>DSC</t>
    </r>
    <r>
      <rPr>
        <b/>
        <vertAlign val="subscript"/>
        <sz val="14"/>
        <color indexed="63"/>
        <rFont val="Arial"/>
        <family val="2"/>
      </rPr>
      <t>V0.9</t>
    </r>
    <r>
      <rPr>
        <b/>
        <sz val="14"/>
        <color indexed="63"/>
        <rFont val="Arial"/>
        <family val="2"/>
      </rPr>
      <t xml:space="preserve"> =</t>
    </r>
  </si>
  <si>
    <t>STEP 3: ENTER SPRAY RATE AND SWATH WIDTH</t>
  </si>
  <si>
    <r>
      <t>CP11TT 60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Flat Fan</t>
    </r>
  </si>
  <si>
    <t>%V&lt;141µm</t>
  </si>
  <si>
    <t xml:space="preserve"> DISCLAIMER: Nozzle numbers provided do not imply swath uniformity or coverage.  Applicators are encouraged to attend an Operation S.A.F.E. Clinic.</t>
  </si>
  <si>
    <t>XC/UC</t>
  </si>
  <si>
    <t>TeeJet SS</t>
  </si>
  <si>
    <t>TeeJet H1 4U</t>
  </si>
  <si>
    <t>2 to 20</t>
  </si>
  <si>
    <t xml:space="preserve"> = ASABE S572.2 Droplet Spectra Classification</t>
  </si>
  <si>
    <t>The reference nozzle data below was measured in accordance with the ANSI/ASAE S572.3 "Spray Nozzle Classification by Droplet Spectra" Standard.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</si>
</sst>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6">
    <font>
      <sz val="10"/>
      <name val="Arial"/>
    </font>
    <font>
      <b/>
      <sz val="10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4"/>
      <color indexed="10"/>
      <name val="Arial"/>
      <family val="2"/>
    </font>
    <font>
      <b/>
      <sz val="10"/>
      <color indexed="63"/>
      <name val="Arial"/>
      <family val="2"/>
    </font>
    <font>
      <b/>
      <vertAlign val="subscript"/>
      <sz val="10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color indexed="63"/>
      <name val="Arial"/>
      <family val="2"/>
    </font>
    <font>
      <sz val="6"/>
      <color indexed="6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sz val="7"/>
      <name val="Arial"/>
      <family val="2"/>
    </font>
    <font>
      <sz val="7"/>
      <name val="Helvetica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C00000"/>
      <name val="Arial"/>
      <family val="2"/>
    </font>
    <font>
      <sz val="10"/>
      <name val="Calibri"/>
      <family val="2"/>
    </font>
    <font>
      <sz val="8.5"/>
      <name val="Arial"/>
      <family val="2"/>
    </font>
    <font>
      <sz val="12"/>
      <color indexed="9"/>
      <name val="Arial"/>
      <family val="2"/>
    </font>
    <font>
      <sz val="12"/>
      <color indexed="63"/>
      <name val="Arial"/>
      <family val="2"/>
    </font>
    <font>
      <b/>
      <sz val="16"/>
      <color rgb="FF002060"/>
      <name val="Arial"/>
      <family val="2"/>
    </font>
    <font>
      <b/>
      <sz val="14"/>
      <color indexed="63"/>
      <name val="Arial"/>
      <family val="2"/>
    </font>
    <font>
      <b/>
      <vertAlign val="subscript"/>
      <sz val="14"/>
      <color indexed="63"/>
      <name val="Arial"/>
      <family val="2"/>
    </font>
    <font>
      <b/>
      <sz val="14"/>
      <color indexed="63"/>
      <name val="Comic Sans MS"/>
      <family val="4"/>
    </font>
    <font>
      <sz val="14"/>
      <color indexed="63"/>
      <name val="Arial"/>
      <family val="2"/>
    </font>
    <font>
      <i/>
      <sz val="14"/>
      <color rgb="FFFF0000"/>
      <name val="Helvetic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97">
    <xf numFmtId="0" fontId="0" fillId="0" borderId="0" xfId="0"/>
    <xf numFmtId="0" fontId="0" fillId="2" borderId="0" xfId="0" applyFill="1"/>
    <xf numFmtId="0" fontId="1" fillId="2" borderId="0" xfId="0" applyFont="1" applyFill="1"/>
    <xf numFmtId="2" fontId="1" fillId="2" borderId="0" xfId="0" applyNumberFormat="1" applyFont="1" applyFill="1"/>
    <xf numFmtId="0" fontId="4" fillId="2" borderId="0" xfId="0" applyFont="1" applyFill="1" applyAlignment="1">
      <alignment horizontal="center" textRotation="90"/>
    </xf>
    <xf numFmtId="0" fontId="5" fillId="2" borderId="0" xfId="0" applyFont="1" applyFill="1"/>
    <xf numFmtId="2" fontId="6" fillId="2" borderId="0" xfId="0" applyNumberFormat="1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1" fontId="16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4" xfId="0" applyBorder="1"/>
    <xf numFmtId="0" fontId="0" fillId="0" borderId="8" xfId="0" applyBorder="1"/>
    <xf numFmtId="0" fontId="0" fillId="3" borderId="0" xfId="0" applyFill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2" fontId="1" fillId="3" borderId="0" xfId="0" applyNumberFormat="1" applyFont="1" applyFill="1"/>
    <xf numFmtId="0" fontId="0" fillId="4" borderId="0" xfId="0" applyFill="1"/>
    <xf numFmtId="0" fontId="16" fillId="4" borderId="0" xfId="0" applyFont="1" applyFill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11" fillId="4" borderId="0" xfId="0" applyFont="1" applyFill="1"/>
    <xf numFmtId="0" fontId="12" fillId="4" borderId="0" xfId="0" applyFont="1" applyFill="1"/>
    <xf numFmtId="0" fontId="12" fillId="4" borderId="6" xfId="0" applyFont="1" applyFill="1" applyBorder="1"/>
    <xf numFmtId="0" fontId="8" fillId="4" borderId="0" xfId="0" applyFont="1" applyFill="1"/>
    <xf numFmtId="0" fontId="20" fillId="4" borderId="2" xfId="0" applyFont="1" applyFill="1" applyBorder="1"/>
    <xf numFmtId="0" fontId="21" fillId="4" borderId="2" xfId="0" applyFont="1" applyFill="1" applyBorder="1"/>
    <xf numFmtId="0" fontId="17" fillId="0" borderId="5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0" fillId="0" borderId="1" xfId="0" applyBorder="1"/>
    <xf numFmtId="0" fontId="16" fillId="0" borderId="5" xfId="0" applyFont="1" applyBorder="1"/>
    <xf numFmtId="0" fontId="16" fillId="0" borderId="7" xfId="0" applyFont="1" applyBorder="1"/>
    <xf numFmtId="0" fontId="0" fillId="0" borderId="10" xfId="0" applyBorder="1"/>
    <xf numFmtId="0" fontId="17" fillId="0" borderId="10" xfId="0" applyFont="1" applyBorder="1" applyAlignment="1">
      <alignment wrapText="1"/>
    </xf>
    <xf numFmtId="0" fontId="24" fillId="0" borderId="0" xfId="0" applyFont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16" fillId="0" borderId="11" xfId="0" applyFont="1" applyBorder="1"/>
    <xf numFmtId="0" fontId="16" fillId="0" borderId="12" xfId="0" applyFont="1" applyBorder="1"/>
    <xf numFmtId="0" fontId="24" fillId="0" borderId="5" xfId="0" applyFont="1" applyBorder="1" applyAlignment="1">
      <alignment vertical="center" wrapText="1"/>
    </xf>
    <xf numFmtId="0" fontId="16" fillId="0" borderId="6" xfId="0" applyFont="1" applyBorder="1"/>
    <xf numFmtId="0" fontId="24" fillId="0" borderId="7" xfId="0" applyFont="1" applyBorder="1" applyAlignment="1">
      <alignment vertical="center" wrapText="1"/>
    </xf>
    <xf numFmtId="0" fontId="16" fillId="0" borderId="4" xfId="0" applyFont="1" applyBorder="1"/>
    <xf numFmtId="0" fontId="16" fillId="0" borderId="8" xfId="0" applyFont="1" applyBorder="1"/>
    <xf numFmtId="0" fontId="1" fillId="0" borderId="10" xfId="0" applyFont="1" applyBorder="1"/>
    <xf numFmtId="0" fontId="11" fillId="0" borderId="5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16" fillId="0" borderId="2" xfId="0" applyFont="1" applyBorder="1"/>
    <xf numFmtId="0" fontId="16" fillId="0" borderId="3" xfId="0" applyFont="1" applyBorder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 applyProtection="1">
      <alignment horizontal="left"/>
      <protection hidden="1"/>
    </xf>
    <xf numFmtId="0" fontId="16" fillId="4" borderId="0" xfId="0" applyFont="1" applyFill="1"/>
    <xf numFmtId="0" fontId="5" fillId="4" borderId="0" xfId="0" applyFont="1" applyFill="1"/>
    <xf numFmtId="0" fontId="15" fillId="4" borderId="0" xfId="0" applyFont="1" applyFill="1"/>
    <xf numFmtId="2" fontId="15" fillId="4" borderId="0" xfId="0" applyNumberFormat="1" applyFont="1" applyFill="1"/>
    <xf numFmtId="0" fontId="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1" fontId="15" fillId="4" borderId="0" xfId="0" applyNumberFormat="1" applyFont="1" applyFill="1" applyProtection="1">
      <protection hidden="1"/>
    </xf>
    <xf numFmtId="0" fontId="16" fillId="4" borderId="0" xfId="0" applyFont="1" applyFill="1" applyProtection="1">
      <protection hidden="1"/>
    </xf>
    <xf numFmtId="2" fontId="15" fillId="4" borderId="0" xfId="0" applyNumberFormat="1" applyFont="1" applyFill="1" applyProtection="1">
      <protection hidden="1"/>
    </xf>
    <xf numFmtId="0" fontId="15" fillId="4" borderId="0" xfId="0" applyFont="1" applyFill="1" applyAlignment="1" applyProtection="1">
      <alignment horizontal="left"/>
      <protection hidden="1"/>
    </xf>
    <xf numFmtId="0" fontId="28" fillId="3" borderId="0" xfId="0" applyFont="1" applyFill="1"/>
    <xf numFmtId="0" fontId="29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0" fillId="3" borderId="1" xfId="0" applyFill="1" applyBorder="1"/>
    <xf numFmtId="0" fontId="1" fillId="3" borderId="2" xfId="0" applyFont="1" applyFill="1" applyBorder="1"/>
    <xf numFmtId="2" fontId="1" fillId="3" borderId="2" xfId="0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28" fillId="3" borderId="6" xfId="0" applyFont="1" applyFill="1" applyBorder="1"/>
    <xf numFmtId="0" fontId="5" fillId="3" borderId="5" xfId="0" applyFont="1" applyFill="1" applyBorder="1"/>
    <xf numFmtId="0" fontId="13" fillId="3" borderId="6" xfId="0" applyFont="1" applyFill="1" applyBorder="1"/>
    <xf numFmtId="0" fontId="10" fillId="3" borderId="7" xfId="0" applyFont="1" applyFill="1" applyBorder="1"/>
    <xf numFmtId="0" fontId="10" fillId="3" borderId="4" xfId="0" applyFont="1" applyFill="1" applyBorder="1"/>
    <xf numFmtId="0" fontId="14" fillId="3" borderId="4" xfId="0" applyFont="1" applyFill="1" applyBorder="1" applyAlignment="1">
      <alignment horizontal="center"/>
    </xf>
    <xf numFmtId="0" fontId="10" fillId="3" borderId="8" xfId="0" applyFont="1" applyFill="1" applyBorder="1"/>
    <xf numFmtId="0" fontId="18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26" fillId="4" borderId="5" xfId="0" applyFont="1" applyFill="1" applyBorder="1"/>
    <xf numFmtId="0" fontId="26" fillId="4" borderId="0" xfId="0" applyFont="1" applyFill="1"/>
    <xf numFmtId="0" fontId="31" fillId="4" borderId="0" xfId="0" applyFont="1" applyFill="1"/>
    <xf numFmtId="0" fontId="18" fillId="4" borderId="2" xfId="0" applyFont="1" applyFill="1" applyBorder="1"/>
    <xf numFmtId="0" fontId="3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2" fillId="4" borderId="9" xfId="0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>
      <alignment vertical="center"/>
    </xf>
    <xf numFmtId="0" fontId="33" fillId="4" borderId="0" xfId="0" applyFont="1" applyFill="1"/>
    <xf numFmtId="0" fontId="30" fillId="3" borderId="0" xfId="0" applyFont="1" applyFill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16" fillId="6" borderId="0" xfId="0" applyFont="1" applyFill="1"/>
    <xf numFmtId="0" fontId="0" fillId="6" borderId="0" xfId="0" applyFill="1"/>
    <xf numFmtId="0" fontId="16" fillId="0" borderId="10" xfId="0" applyFont="1" applyBorder="1"/>
    <xf numFmtId="164" fontId="0" fillId="0" borderId="0" xfId="0" applyNumberFormat="1" applyAlignment="1">
      <alignment horizontal="center"/>
    </xf>
    <xf numFmtId="0" fontId="16" fillId="0" borderId="1" xfId="0" applyFont="1" applyBorder="1"/>
    <xf numFmtId="0" fontId="16" fillId="6" borderId="1" xfId="0" applyFont="1" applyFill="1" applyBorder="1"/>
    <xf numFmtId="0" fontId="16" fillId="6" borderId="5" xfId="0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2" borderId="0" xfId="0" applyFont="1" applyFill="1" applyAlignment="1">
      <alignment horizontal="center" vertical="center" textRotation="90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6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5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7" fillId="4" borderId="4" xfId="0" applyFont="1" applyFill="1" applyBorder="1" applyAlignment="1" applyProtection="1">
      <alignment horizontal="left" vertical="center"/>
      <protection hidden="1"/>
    </xf>
    <xf numFmtId="0" fontId="0" fillId="4" borderId="8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6" fillId="4" borderId="0" xfId="0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wrapText="1"/>
    </xf>
    <xf numFmtId="0" fontId="26" fillId="0" borderId="0" xfId="0" applyFont="1"/>
    <xf numFmtId="165" fontId="26" fillId="0" borderId="0" xfId="0" applyNumberFormat="1" applyFont="1"/>
    <xf numFmtId="0" fontId="26" fillId="4" borderId="6" xfId="0" applyFont="1" applyFill="1" applyBorder="1"/>
    <xf numFmtId="0" fontId="3" fillId="4" borderId="0" xfId="0" applyFont="1" applyFill="1"/>
    <xf numFmtId="0" fontId="26" fillId="4" borderId="0" xfId="0" applyFont="1" applyFill="1" applyAlignment="1">
      <alignment horizontal="center"/>
    </xf>
    <xf numFmtId="0" fontId="36" fillId="4" borderId="7" xfId="0" applyFont="1" applyFill="1" applyBorder="1"/>
    <xf numFmtId="0" fontId="36" fillId="4" borderId="4" xfId="0" applyFont="1" applyFill="1" applyBorder="1"/>
    <xf numFmtId="0" fontId="37" fillId="4" borderId="4" xfId="0" applyFont="1" applyFill="1" applyBorder="1"/>
    <xf numFmtId="0" fontId="37" fillId="4" borderId="4" xfId="0" applyFont="1" applyFill="1" applyBorder="1" applyAlignment="1">
      <alignment horizontal="center"/>
    </xf>
    <xf numFmtId="0" fontId="37" fillId="4" borderId="8" xfId="0" applyFont="1" applyFill="1" applyBorder="1"/>
    <xf numFmtId="0" fontId="3" fillId="4" borderId="2" xfId="0" applyFont="1" applyFill="1" applyBorder="1"/>
    <xf numFmtId="0" fontId="26" fillId="4" borderId="2" xfId="0" applyFont="1" applyFill="1" applyBorder="1"/>
    <xf numFmtId="0" fontId="26" fillId="4" borderId="3" xfId="0" applyFont="1" applyFill="1" applyBorder="1"/>
    <xf numFmtId="0" fontId="3" fillId="4" borderId="4" xfId="0" applyFont="1" applyFill="1" applyBorder="1"/>
    <xf numFmtId="0" fontId="3" fillId="4" borderId="8" xfId="0" applyFont="1" applyFill="1" applyBorder="1"/>
    <xf numFmtId="0" fontId="22" fillId="4" borderId="0" xfId="0" applyFont="1" applyFill="1"/>
    <xf numFmtId="0" fontId="30" fillId="4" borderId="0" xfId="0" applyFont="1" applyFill="1"/>
    <xf numFmtId="164" fontId="22" fillId="4" borderId="0" xfId="0" applyNumberFormat="1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2" fontId="22" fillId="4" borderId="0" xfId="0" applyNumberFormat="1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1" fontId="22" fillId="4" borderId="0" xfId="0" applyNumberFormat="1" applyFont="1" applyFill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1" fontId="39" fillId="4" borderId="0" xfId="0" applyNumberFormat="1" applyFont="1" applyFill="1" applyAlignment="1">
      <alignment horizontal="center" vertical="center"/>
    </xf>
    <xf numFmtId="1" fontId="39" fillId="4" borderId="0" xfId="0" applyNumberFormat="1" applyFont="1" applyFill="1" applyAlignment="1" applyProtection="1">
      <alignment horizontal="center" vertical="center"/>
      <protection hidden="1"/>
    </xf>
    <xf numFmtId="0" fontId="39" fillId="4" borderId="0" xfId="0" applyFont="1" applyFill="1" applyAlignment="1">
      <alignment horizontal="right"/>
    </xf>
    <xf numFmtId="2" fontId="22" fillId="4" borderId="0" xfId="0" applyNumberFormat="1" applyFont="1" applyFill="1" applyAlignment="1" applyProtection="1">
      <alignment horizontal="center"/>
      <protection hidden="1"/>
    </xf>
    <xf numFmtId="0" fontId="39" fillId="4" borderId="0" xfId="0" applyFont="1" applyFill="1"/>
    <xf numFmtId="2" fontId="39" fillId="4" borderId="0" xfId="0" applyNumberFormat="1" applyFont="1" applyFill="1" applyAlignment="1">
      <alignment horizontal="center"/>
    </xf>
    <xf numFmtId="0" fontId="41" fillId="4" borderId="0" xfId="0" applyFont="1" applyFill="1"/>
    <xf numFmtId="0" fontId="39" fillId="4" borderId="0" xfId="0" applyFont="1" applyFill="1" applyAlignment="1" applyProtection="1">
      <alignment horizontal="left"/>
      <protection hidden="1"/>
    </xf>
    <xf numFmtId="0" fontId="39" fillId="4" borderId="4" xfId="0" applyFont="1" applyFill="1" applyBorder="1" applyAlignment="1">
      <alignment horizontal="right" vertical="center"/>
    </xf>
    <xf numFmtId="0" fontId="39" fillId="4" borderId="4" xfId="0" applyFont="1" applyFill="1" applyBorder="1" applyAlignment="1" applyProtection="1">
      <alignment horizontal="left" vertical="center"/>
      <protection hidden="1"/>
    </xf>
    <xf numFmtId="0" fontId="42" fillId="4" borderId="4" xfId="0" applyFont="1" applyFill="1" applyBorder="1" applyAlignment="1">
      <alignment vertical="center"/>
    </xf>
    <xf numFmtId="0" fontId="25" fillId="4" borderId="0" xfId="0" applyFont="1" applyFill="1" applyAlignment="1">
      <alignment horizontal="center"/>
    </xf>
    <xf numFmtId="0" fontId="43" fillId="4" borderId="1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vertical="center" wrapText="1"/>
    </xf>
    <xf numFmtId="0" fontId="43" fillId="4" borderId="3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center" vertical="center" wrapText="1"/>
    </xf>
    <xf numFmtId="0" fontId="43" fillId="4" borderId="0" xfId="0" applyFont="1" applyFill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38" fillId="4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5" xfId="0" applyFont="1" applyFill="1" applyBorder="1"/>
    <xf numFmtId="0" fontId="16" fillId="0" borderId="0" xfId="0" applyFont="1" applyBorder="1"/>
    <xf numFmtId="0" fontId="16" fillId="0" borderId="0" xfId="0" applyFont="1" applyFill="1" applyBorder="1"/>
  </cellXfs>
  <cellStyles count="15"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14" builtinId="9" hidden="1"/>
    <cellStyle name="Followed Hyperlink" xfId="6" builtinId="9" hidden="1"/>
    <cellStyle name="Followed Hyperlink" xfId="12" builtinId="9" hidden="1"/>
    <cellStyle name="Followed Hyperlink" xfId="10" builtinId="9" hidden="1"/>
    <cellStyle name="Hyperlink" xfId="1" builtinId="8" hidden="1"/>
    <cellStyle name="Hyperlink" xfId="11" builtinId="8" hidden="1"/>
    <cellStyle name="Hyperlink" xfId="5" builtinId="8" hidden="1"/>
    <cellStyle name="Hyperlink" xfId="3" builtinId="8" hidden="1"/>
    <cellStyle name="Hyperlink" xfId="9" builtinId="8" hidden="1"/>
    <cellStyle name="Hyperlink" xfId="7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33618</xdr:colOff>
      <xdr:row>1</xdr:row>
      <xdr:rowOff>44823</xdr:rowOff>
    </xdr:from>
    <xdr:to>
      <xdr:col>19</xdr:col>
      <xdr:colOff>82477</xdr:colOff>
      <xdr:row>3</xdr:row>
      <xdr:rowOff>471621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0677" y="201705"/>
          <a:ext cx="2357270" cy="830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G310"/>
  <sheetViews>
    <sheetView tabSelected="1" topLeftCell="C1" zoomScale="120" zoomScaleNormal="120" workbookViewId="0">
      <selection activeCell="G29" sqref="G29"/>
    </sheetView>
  </sheetViews>
  <sheetFormatPr baseColWidth="10" defaultColWidth="8.83203125" defaultRowHeight="12.75" customHeight="1"/>
  <cols>
    <col min="1" max="1" width="2.6640625" style="1" customWidth="1"/>
    <col min="2" max="2" width="1.5" style="1" customWidth="1"/>
    <col min="3" max="3" width="12.33203125" customWidth="1"/>
    <col min="4" max="4" width="10" customWidth="1"/>
    <col min="5" max="5" width="9.6640625" customWidth="1"/>
    <col min="6" max="6" width="8.33203125" customWidth="1"/>
    <col min="7" max="16" width="6.83203125" customWidth="1"/>
    <col min="17" max="18" width="5.33203125" customWidth="1"/>
    <col min="19" max="19" width="10.5" customWidth="1"/>
    <col min="20" max="20" width="2" customWidth="1"/>
    <col min="21" max="21" width="10.6640625" customWidth="1"/>
    <col min="22" max="22" width="8" customWidth="1"/>
    <col min="23" max="23" width="9.33203125" customWidth="1"/>
    <col min="24" max="24" width="8.6640625" customWidth="1"/>
    <col min="25" max="25" width="7.83203125" customWidth="1"/>
    <col min="26" max="27" width="5.33203125" customWidth="1"/>
    <col min="28" max="28" width="8" customWidth="1"/>
    <col min="29" max="29" width="5.33203125" customWidth="1"/>
    <col min="30" max="30" width="10.6640625" style="5" customWidth="1"/>
    <col min="31" max="31" width="11" style="5" customWidth="1"/>
    <col min="32" max="45" width="8.6640625" style="5" customWidth="1"/>
    <col min="46" max="46" width="8.6640625" customWidth="1"/>
    <col min="47" max="47" width="7.5" customWidth="1"/>
    <col min="53" max="79" width="8.83203125" style="1"/>
  </cols>
  <sheetData>
    <row r="1" spans="1:189" ht="12" customHeight="1" thickBot="1">
      <c r="C1" s="2"/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5"/>
      <c r="V1" s="6"/>
      <c r="W1" s="5"/>
      <c r="X1" s="5"/>
      <c r="Y1" s="5"/>
      <c r="Z1" s="5"/>
      <c r="AA1" s="5"/>
      <c r="AB1" s="5"/>
      <c r="AC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9" customHeight="1">
      <c r="B2" s="69"/>
      <c r="C2" s="70"/>
      <c r="D2" s="70"/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 s="5"/>
      <c r="V2" s="6"/>
      <c r="W2" s="5"/>
      <c r="X2" s="5"/>
      <c r="Y2" s="5"/>
      <c r="Z2" s="5"/>
      <c r="AA2" s="5"/>
      <c r="AB2" s="5"/>
      <c r="AC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23.25" customHeight="1">
      <c r="B3" s="74"/>
      <c r="C3" s="17"/>
      <c r="D3" s="17"/>
      <c r="E3" s="18"/>
      <c r="F3" s="15"/>
      <c r="G3" s="179" t="s">
        <v>117</v>
      </c>
      <c r="H3" s="179"/>
      <c r="I3" s="179"/>
      <c r="J3" s="179"/>
      <c r="K3" s="179"/>
      <c r="L3" s="179"/>
      <c r="M3" s="179"/>
      <c r="N3" s="179"/>
      <c r="O3" s="15"/>
      <c r="P3" s="15"/>
      <c r="Q3" s="15"/>
      <c r="R3" s="15"/>
      <c r="S3" s="15"/>
      <c r="T3" s="75"/>
      <c r="U3" s="5"/>
      <c r="V3" s="6"/>
      <c r="W3" s="5"/>
      <c r="X3" s="5"/>
      <c r="Y3" s="5"/>
      <c r="Z3" s="5"/>
      <c r="AA3" s="5"/>
      <c r="AB3" s="5"/>
      <c r="AC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</row>
    <row r="4" spans="1:189" ht="42" customHeight="1">
      <c r="B4" s="74"/>
      <c r="C4" s="17"/>
      <c r="D4" s="17"/>
      <c r="E4" s="18"/>
      <c r="F4" s="15"/>
      <c r="G4" s="179"/>
      <c r="H4" s="179"/>
      <c r="I4" s="179"/>
      <c r="J4" s="179"/>
      <c r="K4" s="179"/>
      <c r="L4" s="179"/>
      <c r="M4" s="179"/>
      <c r="N4" s="179"/>
      <c r="O4" s="15"/>
      <c r="P4" s="15"/>
      <c r="Q4" s="15"/>
      <c r="R4" s="15"/>
      <c r="S4" s="15"/>
      <c r="T4" s="75"/>
      <c r="U4" s="5"/>
      <c r="V4" s="6"/>
      <c r="W4" s="5"/>
      <c r="X4" s="5"/>
      <c r="Y4" s="5"/>
      <c r="Z4" s="5"/>
      <c r="AA4" s="5"/>
      <c r="AB4" s="5"/>
      <c r="AC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</row>
    <row r="5" spans="1:189" ht="18.75" customHeight="1" thickBot="1">
      <c r="B5" s="74"/>
      <c r="C5" s="179" t="s">
        <v>46</v>
      </c>
      <c r="D5" s="179"/>
      <c r="E5" s="179"/>
      <c r="F5" s="179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75"/>
      <c r="U5" s="58"/>
      <c r="V5" s="59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7"/>
      <c r="BK5" s="5"/>
      <c r="BL5" s="5"/>
      <c r="BM5" s="5"/>
      <c r="BN5" s="5"/>
      <c r="BO5" s="5"/>
      <c r="BP5" s="5"/>
      <c r="BQ5" s="5"/>
      <c r="BR5" s="5"/>
    </row>
    <row r="6" spans="1:189" ht="47.25" customHeight="1" thickBot="1">
      <c r="B6" s="74"/>
      <c r="C6" s="179"/>
      <c r="D6" s="179"/>
      <c r="E6" s="179"/>
      <c r="F6" s="179"/>
      <c r="G6" s="182" t="s">
        <v>138</v>
      </c>
      <c r="H6" s="182"/>
      <c r="I6" s="182"/>
      <c r="J6" s="182"/>
      <c r="K6" s="182"/>
      <c r="L6" s="182"/>
      <c r="M6" s="182"/>
      <c r="N6" s="182"/>
      <c r="O6" s="182"/>
      <c r="P6" s="183"/>
      <c r="Q6" s="15"/>
      <c r="R6" s="15"/>
      <c r="S6" s="15"/>
      <c r="T6" s="75"/>
      <c r="U6" s="58"/>
      <c r="V6" s="59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7"/>
      <c r="BK6" s="5"/>
      <c r="BL6" s="5"/>
      <c r="BM6" s="5"/>
      <c r="BN6" s="5"/>
      <c r="BO6" s="5"/>
      <c r="BP6" s="5"/>
      <c r="BQ6" s="5"/>
      <c r="BR6" s="5"/>
    </row>
    <row r="7" spans="1:189" ht="6" customHeight="1">
      <c r="B7" s="74"/>
      <c r="C7" s="15"/>
      <c r="D7" s="15"/>
      <c r="E7" s="15"/>
      <c r="F7" s="17"/>
      <c r="G7" s="15"/>
      <c r="H7" s="97"/>
      <c r="I7" s="97"/>
      <c r="J7" s="97"/>
      <c r="K7" s="97"/>
      <c r="L7" s="97"/>
      <c r="M7" s="97"/>
      <c r="N7" s="97"/>
      <c r="O7" s="97"/>
      <c r="P7" s="15"/>
      <c r="Q7" s="15"/>
      <c r="R7" s="15"/>
      <c r="S7" s="15"/>
      <c r="T7" s="75"/>
      <c r="U7" s="58"/>
      <c r="V7" s="59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7"/>
      <c r="BK7" s="5"/>
      <c r="BL7" s="5"/>
      <c r="BM7" s="5"/>
      <c r="BN7" s="5"/>
      <c r="BO7" s="5"/>
      <c r="BP7" s="5"/>
      <c r="BQ7" s="5"/>
      <c r="BR7" s="5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</row>
    <row r="8" spans="1:189" ht="19.5" customHeight="1">
      <c r="B8" s="74"/>
      <c r="C8" s="15"/>
      <c r="D8" s="15"/>
      <c r="E8" s="15"/>
      <c r="F8" s="17"/>
      <c r="G8" s="98" t="s">
        <v>21</v>
      </c>
      <c r="H8" s="15"/>
      <c r="I8" s="97"/>
      <c r="J8" s="97"/>
      <c r="K8" s="97"/>
      <c r="L8" s="99"/>
      <c r="M8" s="97"/>
      <c r="N8" s="99" t="str">
        <f>VLOOKUP(G6,Airspeeds,2,FALSE)</f>
        <v>120 to 180 MPH</v>
      </c>
      <c r="O8" s="99"/>
      <c r="P8" s="15"/>
      <c r="Q8" s="15"/>
      <c r="R8" s="15"/>
      <c r="S8" s="15"/>
      <c r="T8" s="75"/>
      <c r="U8" s="58"/>
      <c r="V8" s="59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7"/>
      <c r="BK8" s="5"/>
      <c r="BL8" s="5"/>
      <c r="BM8" s="5"/>
      <c r="BN8" s="5"/>
      <c r="BO8" s="5"/>
      <c r="BP8" s="5"/>
      <c r="BQ8" s="5"/>
      <c r="BR8" s="5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</row>
    <row r="9" spans="1:189" ht="13.5" customHeight="1">
      <c r="A9" s="4"/>
      <c r="B9" s="74"/>
      <c r="C9" s="66"/>
      <c r="D9" s="66"/>
      <c r="E9" s="66"/>
      <c r="F9" s="66"/>
      <c r="G9" s="66"/>
      <c r="H9" s="66"/>
      <c r="I9" s="66"/>
      <c r="J9" s="66"/>
      <c r="K9" s="67"/>
      <c r="L9" s="66"/>
      <c r="M9" s="66"/>
      <c r="N9" s="66"/>
      <c r="O9" s="66"/>
      <c r="P9" s="66"/>
      <c r="Q9" s="66"/>
      <c r="R9" s="66"/>
      <c r="S9" s="66"/>
      <c r="T9" s="76"/>
      <c r="U9" s="58"/>
      <c r="V9" s="59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7"/>
      <c r="BK9" s="5"/>
      <c r="BL9" s="5"/>
      <c r="BM9" s="5"/>
      <c r="BN9" s="5"/>
      <c r="BO9" s="5"/>
      <c r="BP9" s="5"/>
      <c r="BQ9" s="5"/>
      <c r="BR9" s="5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</row>
    <row r="10" spans="1:189" ht="13.5" customHeight="1" thickBot="1">
      <c r="A10" s="4" t="s">
        <v>0</v>
      </c>
      <c r="B10" s="74"/>
      <c r="C10" s="66"/>
      <c r="D10" s="66"/>
      <c r="E10" s="66"/>
      <c r="F10" s="66"/>
      <c r="G10" s="66"/>
      <c r="H10" s="66"/>
      <c r="I10" s="66"/>
      <c r="J10" s="68"/>
      <c r="K10" s="67" t="s">
        <v>114</v>
      </c>
      <c r="L10" s="66"/>
      <c r="M10" s="66"/>
      <c r="N10" s="66"/>
      <c r="O10" s="66"/>
      <c r="P10" s="66"/>
      <c r="Q10" s="66"/>
      <c r="R10" s="66"/>
      <c r="S10" s="66"/>
      <c r="T10" s="76"/>
      <c r="U10" s="58"/>
      <c r="V10" s="59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7"/>
      <c r="BK10" s="5"/>
      <c r="BL10" s="5"/>
      <c r="BM10" s="5"/>
      <c r="BN10" s="5"/>
      <c r="BO10" s="5"/>
      <c r="BP10" s="5"/>
      <c r="BQ10" s="5"/>
      <c r="BR10" s="5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</row>
    <row r="11" spans="1:189" ht="2.25" customHeight="1">
      <c r="A11" s="4"/>
      <c r="B11" s="74"/>
      <c r="C11" s="83"/>
      <c r="D11" s="91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5"/>
      <c r="T11" s="75"/>
      <c r="U11" s="58"/>
      <c r="V11" s="59"/>
      <c r="W11" s="56"/>
      <c r="X11" s="56"/>
      <c r="Y11" s="56"/>
      <c r="Z11" s="56"/>
      <c r="AA11" s="56"/>
      <c r="AB11" s="56"/>
      <c r="AC11" s="56"/>
      <c r="AD11" s="58"/>
      <c r="AE11" s="59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7"/>
      <c r="BK11" s="5"/>
      <c r="BL11" s="5"/>
      <c r="BM11" s="5"/>
      <c r="BN11" s="5"/>
      <c r="BO11" s="5"/>
      <c r="BP11" s="5"/>
      <c r="BQ11" s="5"/>
      <c r="BR11" s="5"/>
    </row>
    <row r="12" spans="1:189" ht="20">
      <c r="A12" s="4"/>
      <c r="B12" s="74"/>
      <c r="C12" s="188" t="s">
        <v>47</v>
      </c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90"/>
      <c r="T12" s="75"/>
      <c r="U12" s="58"/>
      <c r="V12" s="59"/>
      <c r="W12" s="56"/>
      <c r="X12" s="56"/>
      <c r="Y12" s="56"/>
      <c r="Z12" s="56"/>
      <c r="AA12" s="56"/>
      <c r="AB12" s="56"/>
      <c r="AC12" s="56"/>
      <c r="AD12" s="58"/>
      <c r="AE12" s="59"/>
      <c r="AF12" s="56"/>
      <c r="AG12" s="56"/>
      <c r="AH12" s="56"/>
      <c r="AI12" s="56"/>
      <c r="AJ12" s="56"/>
      <c r="AK12" s="56"/>
      <c r="AL12" s="60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7"/>
      <c r="BK12" s="5"/>
      <c r="BL12" s="5"/>
      <c r="BM12" s="5"/>
      <c r="BN12" s="5"/>
      <c r="BO12" s="5"/>
      <c r="BP12" s="5"/>
      <c r="BQ12" s="5"/>
      <c r="BR12" s="5"/>
    </row>
    <row r="13" spans="1:189" ht="16">
      <c r="A13" s="4"/>
      <c r="B13" s="74"/>
      <c r="C13" s="88"/>
      <c r="D13" s="89"/>
      <c r="E13" s="89"/>
      <c r="F13" s="137"/>
      <c r="G13" s="141"/>
      <c r="H13" s="141"/>
      <c r="I13" s="137"/>
      <c r="J13" s="141"/>
      <c r="K13" s="141"/>
      <c r="L13" s="141"/>
      <c r="M13" s="137"/>
      <c r="N13" s="141"/>
      <c r="O13" s="141"/>
      <c r="P13" s="137"/>
      <c r="Q13" s="141"/>
      <c r="R13" s="89"/>
      <c r="S13" s="139"/>
      <c r="T13" s="75"/>
      <c r="U13" s="58"/>
      <c r="V13" s="59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7"/>
      <c r="BK13" s="5"/>
      <c r="BL13" s="5"/>
      <c r="BM13" s="5"/>
      <c r="BN13" s="5"/>
      <c r="BO13" s="5"/>
      <c r="BP13" s="5"/>
      <c r="BQ13" s="5"/>
      <c r="BR13" s="5"/>
    </row>
    <row r="14" spans="1:189" ht="13.5" customHeight="1">
      <c r="A14" s="4"/>
      <c r="B14" s="74"/>
      <c r="C14" s="180" t="s">
        <v>48</v>
      </c>
      <c r="D14" s="181"/>
      <c r="E14" s="89"/>
      <c r="F14" s="92" t="s">
        <v>31</v>
      </c>
      <c r="G14" s="93"/>
      <c r="H14" s="93"/>
      <c r="I14" s="92" t="str">
        <f>VLOOKUP(G6,Angle,2,FALSE)</f>
        <v>Nozzle Angle</v>
      </c>
      <c r="J14" s="93"/>
      <c r="K14" s="93"/>
      <c r="L14" s="93"/>
      <c r="M14" s="92" t="s">
        <v>34</v>
      </c>
      <c r="N14" s="93"/>
      <c r="O14" s="93"/>
      <c r="P14" s="92" t="s">
        <v>33</v>
      </c>
      <c r="Q14" s="93"/>
      <c r="R14" s="89"/>
      <c r="S14" s="139"/>
      <c r="T14" s="75"/>
      <c r="U14" s="58"/>
      <c r="V14" s="59"/>
      <c r="W14" s="56"/>
      <c r="X14" s="56"/>
      <c r="Y14" s="56"/>
      <c r="Z14" s="56"/>
      <c r="AA14" s="56"/>
      <c r="AB14" s="56"/>
      <c r="AC14" s="56"/>
      <c r="AD14" s="61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5"/>
      <c r="BL14" s="5"/>
      <c r="BM14" s="5"/>
      <c r="BN14" s="5"/>
      <c r="BO14" s="5"/>
      <c r="BP14" s="5"/>
      <c r="BQ14" s="5"/>
      <c r="BR14" s="5"/>
    </row>
    <row r="15" spans="1:189" ht="17.25" customHeight="1" thickBot="1">
      <c r="A15" s="4"/>
      <c r="B15" s="74"/>
      <c r="C15" s="180"/>
      <c r="D15" s="181"/>
      <c r="E15" s="89"/>
      <c r="F15" s="93" t="str">
        <f>VLOOKUP(G6,Orifice,2,FALSE)</f>
        <v>2 to 30</v>
      </c>
      <c r="G15" s="93"/>
      <c r="H15" s="93"/>
      <c r="I15" s="93" t="str">
        <f>VLOOKUP(G6,Angle,16,FALSE)</f>
        <v>0 to 90</v>
      </c>
      <c r="J15" s="93"/>
      <c r="K15" s="93"/>
      <c r="L15" s="93"/>
      <c r="M15" s="93" t="s">
        <v>65</v>
      </c>
      <c r="N15" s="93"/>
      <c r="O15" s="93"/>
      <c r="P15" s="93" t="str">
        <f>VLOOKUP(G6,Airspeeds,2,FALSE)</f>
        <v>120 to 180 MPH</v>
      </c>
      <c r="Q15" s="93"/>
      <c r="R15" s="89"/>
      <c r="S15" s="139"/>
      <c r="T15" s="75"/>
      <c r="U15" s="58"/>
      <c r="V15" s="59"/>
      <c r="W15" s="56"/>
      <c r="X15" s="56"/>
      <c r="Y15" s="56"/>
      <c r="Z15" s="56"/>
      <c r="AA15" s="56"/>
      <c r="AB15" s="56"/>
      <c r="AC15" s="56"/>
      <c r="AD15" s="61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5"/>
      <c r="BL15" s="5"/>
      <c r="BM15" s="5"/>
      <c r="BN15" s="5"/>
      <c r="BO15" s="5"/>
      <c r="BP15" s="5"/>
      <c r="BQ15" s="5"/>
      <c r="BR15" s="5"/>
    </row>
    <row r="16" spans="1:189" ht="18" customHeight="1" thickBot="1">
      <c r="A16" s="4"/>
      <c r="B16" s="74"/>
      <c r="C16" s="88"/>
      <c r="D16" s="89"/>
      <c r="E16" s="90"/>
      <c r="F16" s="94">
        <v>4</v>
      </c>
      <c r="G16" s="95"/>
      <c r="H16" s="95"/>
      <c r="I16" s="94">
        <v>0</v>
      </c>
      <c r="J16" s="95" t="s">
        <v>0</v>
      </c>
      <c r="K16" s="95"/>
      <c r="L16" s="95"/>
      <c r="M16" s="94">
        <v>40</v>
      </c>
      <c r="N16" s="95"/>
      <c r="O16" s="95"/>
      <c r="P16" s="94">
        <v>140</v>
      </c>
      <c r="Q16" s="95"/>
      <c r="R16" s="89"/>
      <c r="S16" s="139"/>
      <c r="T16" s="75"/>
      <c r="U16" s="62"/>
      <c r="V16" s="63"/>
      <c r="W16" s="63"/>
      <c r="X16" s="56"/>
      <c r="Y16" s="56"/>
      <c r="Z16" s="56"/>
      <c r="AA16" s="56"/>
      <c r="AB16" s="56"/>
      <c r="AC16" s="56"/>
      <c r="AD16" s="61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7"/>
      <c r="BK16" s="5"/>
      <c r="BL16" s="5"/>
      <c r="BM16" s="5"/>
      <c r="BN16" s="5"/>
      <c r="BO16" s="5"/>
      <c r="BP16" s="5"/>
      <c r="BQ16" s="5"/>
      <c r="BR16" s="5"/>
    </row>
    <row r="17" spans="1:189" ht="7.5" customHeight="1" thickBot="1">
      <c r="A17" s="4"/>
      <c r="B17" s="74"/>
      <c r="C17" s="88"/>
      <c r="D17" s="89"/>
      <c r="E17" s="89"/>
      <c r="F17" s="89"/>
      <c r="G17" s="96"/>
      <c r="H17" s="96"/>
      <c r="I17" s="96"/>
      <c r="J17" s="96"/>
      <c r="K17" s="96"/>
      <c r="L17" s="96"/>
      <c r="M17" s="96"/>
      <c r="N17" s="96"/>
      <c r="O17" s="89"/>
      <c r="P17" s="89"/>
      <c r="Q17" s="89"/>
      <c r="R17" s="89"/>
      <c r="S17" s="139"/>
      <c r="T17" s="75"/>
      <c r="U17" s="58"/>
      <c r="V17" s="63"/>
      <c r="W17" s="63"/>
      <c r="X17" s="56"/>
      <c r="Y17" s="56"/>
      <c r="Z17" s="56"/>
      <c r="AA17" s="56"/>
      <c r="AB17" s="56"/>
      <c r="AC17" s="56"/>
      <c r="AD17" s="20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7"/>
      <c r="BK17" s="5"/>
      <c r="BL17" s="5"/>
      <c r="BM17" s="5"/>
      <c r="BN17" s="5"/>
      <c r="BO17" s="5"/>
      <c r="BP17" s="5"/>
      <c r="BQ17" s="5"/>
      <c r="BR17" s="5"/>
    </row>
    <row r="18" spans="1:189" ht="14.25" customHeight="1">
      <c r="A18" s="4"/>
      <c r="B18" s="74"/>
      <c r="C18" s="21"/>
      <c r="D18" s="22"/>
      <c r="E18" s="22"/>
      <c r="F18" s="29" t="s">
        <v>6</v>
      </c>
      <c r="G18" s="28"/>
      <c r="H18" s="28"/>
      <c r="I18" s="28"/>
      <c r="J18" s="28"/>
      <c r="K18" s="28"/>
      <c r="L18" s="28"/>
      <c r="M18" s="28"/>
      <c r="N18" s="28"/>
      <c r="O18" s="22"/>
      <c r="P18" s="22"/>
      <c r="Q18" s="22"/>
      <c r="R18" s="22"/>
      <c r="S18" s="23"/>
      <c r="T18" s="75"/>
      <c r="U18" s="58"/>
      <c r="V18" s="56"/>
      <c r="W18" s="63"/>
      <c r="X18" s="56"/>
      <c r="Y18" s="56"/>
      <c r="Z18" s="56"/>
      <c r="AA18" s="56"/>
      <c r="AB18" s="56"/>
      <c r="AC18" s="56"/>
      <c r="AD18" s="20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7"/>
      <c r="BK18" s="5"/>
      <c r="BL18" s="5"/>
      <c r="BM18" s="5"/>
      <c r="BN18" s="5"/>
      <c r="BO18" s="5"/>
      <c r="BP18" s="5"/>
      <c r="BQ18" s="5"/>
      <c r="BR18" s="5"/>
    </row>
    <row r="19" spans="1:189" s="121" customFormat="1" ht="20">
      <c r="A19" s="111"/>
      <c r="B19" s="112"/>
      <c r="C19" s="113"/>
      <c r="D19" s="160" t="s">
        <v>140</v>
      </c>
      <c r="E19" s="161">
        <f>'Model Parameters'!K12</f>
        <v>132.90793807863813</v>
      </c>
      <c r="F19" s="160" t="s">
        <v>1</v>
      </c>
      <c r="G19" s="186" t="s">
        <v>13</v>
      </c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7"/>
      <c r="T19" s="114"/>
      <c r="U19" s="115"/>
      <c r="V19" s="115"/>
      <c r="W19" s="116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8"/>
      <c r="BK19" s="119"/>
      <c r="BL19" s="119"/>
      <c r="BM19" s="119"/>
      <c r="BN19" s="119"/>
      <c r="BO19" s="119"/>
      <c r="BP19" s="119"/>
      <c r="BQ19" s="119"/>
      <c r="BR19" s="119"/>
      <c r="BS19" s="120"/>
      <c r="BT19" s="120"/>
      <c r="BU19" s="120"/>
      <c r="BV19" s="120"/>
      <c r="BW19" s="120"/>
      <c r="BX19" s="120"/>
      <c r="BY19" s="120"/>
      <c r="BZ19" s="120"/>
      <c r="CA19" s="120"/>
    </row>
    <row r="20" spans="1:189" s="121" customFormat="1" ht="20">
      <c r="A20" s="111"/>
      <c r="B20" s="112"/>
      <c r="C20" s="113"/>
      <c r="D20" s="160" t="s">
        <v>141</v>
      </c>
      <c r="E20" s="162">
        <f>'Model Parameters'!K13</f>
        <v>274.77977085606369</v>
      </c>
      <c r="F20" s="160" t="s">
        <v>1</v>
      </c>
      <c r="G20" s="184" t="s">
        <v>110</v>
      </c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5"/>
      <c r="T20" s="114"/>
      <c r="U20" s="115"/>
      <c r="V20" s="115"/>
      <c r="W20" s="116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8"/>
      <c r="BK20" s="119"/>
      <c r="BL20" s="119"/>
      <c r="BM20" s="119"/>
      <c r="BN20" s="119"/>
      <c r="BO20" s="119"/>
      <c r="BP20" s="119"/>
      <c r="BQ20" s="119"/>
      <c r="BR20" s="119"/>
      <c r="BS20" s="120"/>
      <c r="BT20" s="120"/>
      <c r="BU20" s="120"/>
      <c r="BV20" s="120"/>
      <c r="BW20" s="120"/>
      <c r="BX20" s="120"/>
      <c r="BY20" s="120"/>
      <c r="BZ20" s="120"/>
      <c r="CA20" s="120"/>
    </row>
    <row r="21" spans="1:189" s="121" customFormat="1" ht="20">
      <c r="A21" s="120"/>
      <c r="B21" s="112"/>
      <c r="C21" s="113"/>
      <c r="D21" s="160" t="s">
        <v>142</v>
      </c>
      <c r="E21" s="162">
        <f>'Model Parameters'!J14</f>
        <v>478.08820095903155</v>
      </c>
      <c r="F21" s="160" t="s">
        <v>1</v>
      </c>
      <c r="G21" s="186" t="s">
        <v>16</v>
      </c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7"/>
      <c r="T21" s="114"/>
      <c r="U21" s="115"/>
      <c r="V21" s="115"/>
      <c r="W21" s="116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8"/>
      <c r="BK21" s="119"/>
      <c r="BL21" s="119"/>
      <c r="BM21" s="119"/>
      <c r="BN21" s="119"/>
      <c r="BO21" s="119"/>
      <c r="BP21" s="119"/>
      <c r="BQ21" s="119"/>
      <c r="BR21" s="119"/>
      <c r="BS21" s="120"/>
      <c r="BT21" s="120"/>
      <c r="BU21" s="120"/>
      <c r="BV21" s="120"/>
      <c r="BW21" s="120"/>
      <c r="BX21" s="120"/>
      <c r="BY21" s="120"/>
      <c r="BZ21" s="120"/>
      <c r="CA21" s="120"/>
    </row>
    <row r="22" spans="1:189" ht="18">
      <c r="B22" s="74"/>
      <c r="C22" s="86"/>
      <c r="D22" s="163" t="s">
        <v>2</v>
      </c>
      <c r="E22" s="164">
        <f>(E21-E19)/E20</f>
        <v>1.2562069682386017</v>
      </c>
      <c r="F22" s="165"/>
      <c r="G22" s="24" t="s">
        <v>3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75"/>
      <c r="U22" s="58"/>
      <c r="V22" s="63"/>
      <c r="W22" s="63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7"/>
      <c r="BK22" s="5"/>
      <c r="BL22" s="5"/>
      <c r="BM22" s="5"/>
      <c r="BN22" s="5"/>
      <c r="BO22" s="5"/>
      <c r="BP22" s="5"/>
      <c r="BQ22" s="5"/>
      <c r="BR22" s="5"/>
    </row>
    <row r="23" spans="1:189" ht="21">
      <c r="B23" s="74"/>
      <c r="C23" s="86"/>
      <c r="D23" s="163" t="s">
        <v>8</v>
      </c>
      <c r="E23" s="166">
        <f>'Model Parameters'!K16</f>
        <v>3.6839352483990906</v>
      </c>
      <c r="F23" s="167" t="s">
        <v>4</v>
      </c>
      <c r="G23" s="24" t="s">
        <v>5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75"/>
      <c r="U23" s="64"/>
      <c r="V23" s="63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7"/>
      <c r="BK23" s="5"/>
      <c r="BL23" s="5"/>
      <c r="BM23" s="5"/>
      <c r="BN23" s="5"/>
      <c r="BO23" s="5"/>
      <c r="BP23" s="5"/>
      <c r="BQ23" s="5"/>
      <c r="BR23" s="5"/>
    </row>
    <row r="24" spans="1:189" ht="21">
      <c r="B24" s="74"/>
      <c r="C24" s="86"/>
      <c r="D24" s="163" t="s">
        <v>9</v>
      </c>
      <c r="E24" s="166">
        <f>'Model Parameters'!K17</f>
        <v>31.13695516397279</v>
      </c>
      <c r="F24" s="167" t="s">
        <v>4</v>
      </c>
      <c r="G24" s="27" t="s">
        <v>107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75"/>
      <c r="U24" s="64"/>
      <c r="V24" s="63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7"/>
      <c r="BK24" s="5"/>
      <c r="BL24" s="5"/>
      <c r="BM24" s="5"/>
      <c r="BN24" s="5"/>
      <c r="BO24" s="5"/>
      <c r="BP24" s="5"/>
      <c r="BQ24" s="5"/>
      <c r="BR24" s="5"/>
    </row>
    <row r="25" spans="1:189" ht="21">
      <c r="B25" s="74"/>
      <c r="C25" s="86"/>
      <c r="D25" s="163" t="s">
        <v>143</v>
      </c>
      <c r="E25" s="168" t="str">
        <f>'Reference Nozzles'!B13</f>
        <v>MEDIUM</v>
      </c>
      <c r="F25" s="167"/>
      <c r="G25" s="27" t="s">
        <v>17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/>
      <c r="T25" s="75"/>
      <c r="U25" s="65"/>
      <c r="V25" s="59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7"/>
      <c r="BK25" s="5"/>
      <c r="BL25" s="5"/>
      <c r="BM25" s="5"/>
      <c r="BN25" s="5"/>
      <c r="BO25" s="5"/>
      <c r="BP25" s="5"/>
      <c r="BQ25" s="5"/>
      <c r="BR25" s="5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</row>
    <row r="26" spans="1:189" ht="21">
      <c r="B26" s="74"/>
      <c r="C26" s="86"/>
      <c r="D26" s="163" t="s">
        <v>144</v>
      </c>
      <c r="E26" s="168" t="str">
        <f>'Reference Nozzles'!B14</f>
        <v>MEDIUM</v>
      </c>
      <c r="F26" s="167"/>
      <c r="G26" s="27" t="s">
        <v>18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75"/>
      <c r="U26" s="65"/>
      <c r="V26" s="59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7"/>
      <c r="BK26" s="5"/>
      <c r="BL26" s="5"/>
      <c r="BM26" s="5"/>
      <c r="BN26" s="5"/>
      <c r="BO26" s="5"/>
      <c r="BP26" s="5"/>
      <c r="BQ26" s="5"/>
      <c r="BR26" s="5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</row>
    <row r="27" spans="1:189" ht="21">
      <c r="B27" s="74"/>
      <c r="C27" s="86"/>
      <c r="D27" s="163" t="s">
        <v>145</v>
      </c>
      <c r="E27" s="168" t="str">
        <f>'Reference Nozzles'!B15</f>
        <v>MEDIUM</v>
      </c>
      <c r="F27" s="167"/>
      <c r="G27" s="27" t="s">
        <v>109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/>
      <c r="T27" s="75"/>
      <c r="U27" s="65"/>
      <c r="V27" s="59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7"/>
      <c r="BK27" s="5"/>
      <c r="BL27" s="5"/>
      <c r="BM27" s="5"/>
      <c r="BN27" s="5"/>
      <c r="BO27" s="5"/>
      <c r="BP27" s="5"/>
      <c r="BQ27" s="5"/>
      <c r="BR27" s="5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</row>
    <row r="28" spans="1:189" s="135" customFormat="1" ht="19" thickBot="1">
      <c r="A28" s="122"/>
      <c r="B28" s="123"/>
      <c r="C28" s="124"/>
      <c r="D28" s="169" t="s">
        <v>19</v>
      </c>
      <c r="E28" s="170" t="str">
        <f>'Reference Nozzles'!B16</f>
        <v>MEDIUM</v>
      </c>
      <c r="F28" s="171"/>
      <c r="G28" s="125" t="s">
        <v>154</v>
      </c>
      <c r="H28" s="126"/>
      <c r="I28" s="126"/>
      <c r="J28" s="127"/>
      <c r="K28" s="127"/>
      <c r="L28" s="127"/>
      <c r="M28" s="127"/>
      <c r="N28" s="127"/>
      <c r="O28" s="127"/>
      <c r="P28" s="127"/>
      <c r="Q28" s="128" t="s">
        <v>0</v>
      </c>
      <c r="R28" s="127"/>
      <c r="S28" s="129"/>
      <c r="T28" s="130"/>
      <c r="U28" s="131"/>
      <c r="V28" s="132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3"/>
      <c r="BK28" s="134"/>
      <c r="BL28" s="134"/>
      <c r="BM28" s="134"/>
      <c r="BN28" s="134"/>
      <c r="BO28" s="134"/>
      <c r="BP28" s="134"/>
      <c r="BQ28" s="134"/>
      <c r="BR28" s="134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  <c r="FJ28" s="122"/>
      <c r="FK28" s="122"/>
      <c r="FL28" s="122"/>
      <c r="FM28" s="122"/>
      <c r="FN28" s="122"/>
      <c r="FO28" s="122"/>
      <c r="FP28" s="122"/>
      <c r="FQ28" s="122"/>
      <c r="FR28" s="122"/>
      <c r="FS28" s="122"/>
      <c r="FT28" s="122"/>
      <c r="FU28" s="122"/>
      <c r="FV28" s="122"/>
      <c r="FW28" s="122"/>
      <c r="FX28" s="122"/>
      <c r="FY28" s="122"/>
      <c r="FZ28" s="122"/>
      <c r="GA28" s="122"/>
      <c r="GB28" s="122"/>
      <c r="GC28" s="122"/>
      <c r="GD28" s="122"/>
      <c r="GE28" s="122"/>
      <c r="GF28" s="122"/>
      <c r="GG28" s="122"/>
    </row>
    <row r="29" spans="1:189" ht="14" customHeight="1" thickBot="1">
      <c r="B29" s="74"/>
      <c r="C29" s="15"/>
      <c r="D29" s="15"/>
      <c r="E29" s="15"/>
      <c r="F29" s="15"/>
      <c r="G29" s="15"/>
      <c r="H29" s="15"/>
      <c r="I29" s="15"/>
      <c r="J29" s="15"/>
      <c r="K29" s="16" t="s">
        <v>0</v>
      </c>
      <c r="L29" s="15"/>
      <c r="M29" s="15"/>
      <c r="N29" s="15"/>
      <c r="O29" s="15"/>
      <c r="P29" s="15"/>
      <c r="Q29" s="15"/>
      <c r="R29" s="15"/>
      <c r="S29" s="15"/>
      <c r="T29" s="75"/>
      <c r="U29" s="58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7"/>
      <c r="BK29" s="5"/>
      <c r="BL29" s="5"/>
      <c r="BM29" s="5"/>
      <c r="BN29" s="5"/>
      <c r="BO29" s="5"/>
      <c r="BP29" s="5"/>
      <c r="BQ29" s="5"/>
      <c r="BR29" s="5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</row>
    <row r="30" spans="1:189" ht="14" customHeight="1">
      <c r="B30" s="74"/>
      <c r="C30" s="173" t="s">
        <v>149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5"/>
      <c r="T30" s="75"/>
      <c r="U30" s="58"/>
      <c r="V30" s="59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7"/>
      <c r="BK30" s="5"/>
      <c r="BL30" s="5"/>
      <c r="BM30" s="5"/>
      <c r="BN30" s="5"/>
      <c r="BO30" s="5"/>
      <c r="BP30" s="5"/>
      <c r="BQ30" s="5"/>
      <c r="BR30" s="5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</row>
    <row r="31" spans="1:189" ht="14" customHeight="1">
      <c r="B31" s="74"/>
      <c r="C31" s="176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8"/>
      <c r="T31" s="75"/>
      <c r="U31" s="58"/>
      <c r="V31" s="59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7"/>
      <c r="BK31" s="5"/>
      <c r="BL31" s="5"/>
      <c r="BM31" s="5"/>
      <c r="BN31" s="5"/>
      <c r="BO31" s="5"/>
      <c r="BP31" s="5"/>
      <c r="BQ31" s="5"/>
      <c r="BR31" s="5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</row>
    <row r="32" spans="1:189" ht="14" customHeight="1">
      <c r="B32" s="74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75"/>
      <c r="U32" s="58"/>
      <c r="V32" s="59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7"/>
      <c r="BK32" s="5"/>
      <c r="BL32" s="5"/>
      <c r="BM32" s="5"/>
      <c r="BN32" s="5"/>
      <c r="BO32" s="5"/>
      <c r="BP32" s="5"/>
      <c r="BQ32" s="5"/>
      <c r="BR32" s="5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</row>
    <row r="33" spans="1:189" ht="20">
      <c r="B33" s="74"/>
      <c r="C33" s="86"/>
      <c r="D33" s="172" t="s">
        <v>146</v>
      </c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87"/>
      <c r="T33" s="75"/>
      <c r="U33" s="58"/>
      <c r="V33" s="59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7"/>
      <c r="BK33" s="5"/>
      <c r="BL33" s="5"/>
      <c r="BM33" s="5"/>
      <c r="BN33" s="5"/>
      <c r="BO33" s="5"/>
      <c r="BP33" s="5"/>
      <c r="BQ33" s="5"/>
      <c r="BR33" s="5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</row>
    <row r="34" spans="1:189" ht="14" customHeight="1" thickBot="1">
      <c r="B34" s="74"/>
      <c r="C34" s="88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139"/>
      <c r="T34" s="75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7"/>
      <c r="BK34" s="5"/>
      <c r="BL34" s="5"/>
      <c r="BM34" s="5"/>
      <c r="BN34" s="5"/>
      <c r="BO34" s="5"/>
      <c r="BP34" s="5"/>
      <c r="BQ34" s="5"/>
      <c r="BR34" s="5"/>
    </row>
    <row r="35" spans="1:189" ht="19" thickBot="1">
      <c r="B35" s="74"/>
      <c r="C35" s="88"/>
      <c r="D35" s="159">
        <v>3</v>
      </c>
      <c r="E35" s="147" t="s">
        <v>127</v>
      </c>
      <c r="F35" s="147" t="s">
        <v>126</v>
      </c>
      <c r="G35" s="148"/>
      <c r="H35" s="148"/>
      <c r="I35" s="148"/>
      <c r="J35" s="148"/>
      <c r="K35" s="148"/>
      <c r="L35" s="148"/>
      <c r="M35" s="148"/>
      <c r="N35" s="149"/>
      <c r="O35" s="89"/>
      <c r="P35" s="89"/>
      <c r="Q35" s="89"/>
      <c r="R35" s="89"/>
      <c r="S35" s="139"/>
      <c r="T35" s="75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7"/>
      <c r="BK35" s="5"/>
      <c r="BL35" s="5"/>
      <c r="BM35" s="5"/>
      <c r="BN35" s="5"/>
      <c r="BO35" s="5"/>
      <c r="BP35" s="5"/>
      <c r="BQ35" s="5"/>
      <c r="BR35" s="5"/>
    </row>
    <row r="36" spans="1:189" ht="19" thickBot="1">
      <c r="B36" s="74"/>
      <c r="C36" s="88"/>
      <c r="D36" s="159">
        <v>70</v>
      </c>
      <c r="E36" s="150" t="s">
        <v>131</v>
      </c>
      <c r="F36" s="150" t="s">
        <v>130</v>
      </c>
      <c r="G36" s="150"/>
      <c r="H36" s="150"/>
      <c r="I36" s="150"/>
      <c r="J36" s="150"/>
      <c r="K36" s="150"/>
      <c r="L36" s="150"/>
      <c r="M36" s="150"/>
      <c r="N36" s="151"/>
      <c r="O36" s="140"/>
      <c r="P36" s="140"/>
      <c r="Q36" s="89"/>
      <c r="R36" s="89"/>
      <c r="S36" s="139"/>
      <c r="T36" s="75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7"/>
      <c r="BK36" s="5"/>
      <c r="BL36" s="5"/>
      <c r="BM36" s="5"/>
      <c r="BN36" s="5"/>
      <c r="BO36" s="5"/>
      <c r="BP36" s="5"/>
      <c r="BQ36" s="5"/>
      <c r="BR36" s="5"/>
    </row>
    <row r="37" spans="1:189" ht="14" customHeight="1">
      <c r="B37" s="74"/>
      <c r="C37" s="88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89"/>
      <c r="R37" s="89"/>
      <c r="S37" s="139"/>
      <c r="T37" s="75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7"/>
      <c r="BK37" s="5"/>
      <c r="BL37" s="5"/>
      <c r="BM37" s="5"/>
      <c r="BN37" s="5"/>
      <c r="BO37" s="5"/>
      <c r="BP37" s="5"/>
      <c r="BQ37" s="5"/>
      <c r="BR37" s="5"/>
    </row>
    <row r="38" spans="1:189" ht="18">
      <c r="B38" s="74"/>
      <c r="C38" s="88"/>
      <c r="D38" s="154">
        <f>'Nozzle Flow Rates'!L23</f>
        <v>59.393939393939391</v>
      </c>
      <c r="E38" s="152" t="s">
        <v>124</v>
      </c>
      <c r="F38" s="152" t="s">
        <v>128</v>
      </c>
      <c r="G38" s="152"/>
      <c r="H38" s="152"/>
      <c r="I38" s="152"/>
      <c r="J38" s="152"/>
      <c r="K38" s="152"/>
      <c r="L38" s="152"/>
      <c r="M38" s="152"/>
      <c r="N38" s="152"/>
      <c r="O38" s="152"/>
      <c r="P38" s="140"/>
      <c r="Q38" s="89"/>
      <c r="R38" s="89"/>
      <c r="S38" s="139"/>
      <c r="T38" s="75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7"/>
      <c r="BK38" s="5"/>
      <c r="BL38" s="5"/>
      <c r="BM38" s="5"/>
      <c r="BN38" s="5"/>
      <c r="BO38" s="5"/>
      <c r="BP38" s="5"/>
      <c r="BQ38" s="5"/>
      <c r="BR38" s="5"/>
    </row>
    <row r="39" spans="1:189" ht="14" customHeight="1">
      <c r="B39" s="74"/>
      <c r="C39" s="88"/>
      <c r="D39" s="155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40"/>
      <c r="Q39" s="89"/>
      <c r="R39" s="89"/>
      <c r="S39" s="139"/>
      <c r="T39" s="75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7"/>
      <c r="BK39" s="5"/>
      <c r="BL39" s="5"/>
      <c r="BM39" s="5"/>
      <c r="BN39" s="5"/>
      <c r="BO39" s="5"/>
      <c r="BP39" s="5"/>
      <c r="BQ39" s="5"/>
      <c r="BR39" s="5"/>
    </row>
    <row r="40" spans="1:189" ht="14" customHeight="1">
      <c r="B40" s="74"/>
      <c r="C40" s="88"/>
      <c r="D40" s="156">
        <f>'Nozzle Flow Rates'!L20</f>
        <v>0.40297624763453388</v>
      </c>
      <c r="E40" s="152" t="s">
        <v>124</v>
      </c>
      <c r="F40" s="152" t="s">
        <v>125</v>
      </c>
      <c r="G40" s="153"/>
      <c r="H40" s="153"/>
      <c r="I40" s="153"/>
      <c r="J40" s="153"/>
      <c r="K40" s="153"/>
      <c r="L40" s="153"/>
      <c r="M40" s="153"/>
      <c r="N40" s="153"/>
      <c r="O40" s="153"/>
      <c r="P40" s="89"/>
      <c r="Q40" s="89"/>
      <c r="R40" s="89"/>
      <c r="S40" s="139"/>
      <c r="T40" s="75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7"/>
      <c r="BK40" s="5"/>
      <c r="BL40" s="5"/>
      <c r="BM40" s="5"/>
      <c r="BN40" s="5"/>
      <c r="BO40" s="5"/>
      <c r="BP40" s="5"/>
      <c r="BQ40" s="5"/>
      <c r="BR40" s="5"/>
    </row>
    <row r="41" spans="1:189" ht="14" customHeight="1">
      <c r="B41" s="74"/>
      <c r="C41" s="88"/>
      <c r="D41" s="157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89"/>
      <c r="Q41" s="89"/>
      <c r="R41" s="89"/>
      <c r="S41" s="139"/>
      <c r="T41" s="75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7"/>
      <c r="BK41" s="5"/>
      <c r="BL41" s="5"/>
      <c r="BM41" s="5"/>
      <c r="BN41" s="5"/>
      <c r="BO41" s="5"/>
      <c r="BP41" s="5"/>
      <c r="BQ41" s="5"/>
      <c r="BR41" s="5"/>
    </row>
    <row r="42" spans="1:189" ht="14" customHeight="1">
      <c r="B42" s="74"/>
      <c r="C42" s="88"/>
      <c r="D42" s="158">
        <f>D38/D40</f>
        <v>147.38818911184259</v>
      </c>
      <c r="E42" s="152" t="s">
        <v>135</v>
      </c>
      <c r="F42" s="152" t="s">
        <v>136</v>
      </c>
      <c r="G42" s="152"/>
      <c r="H42" s="152"/>
      <c r="I42" s="152"/>
      <c r="J42" s="152"/>
      <c r="K42" s="152"/>
      <c r="L42" s="153"/>
      <c r="M42" s="153"/>
      <c r="N42" s="153"/>
      <c r="O42" s="153"/>
      <c r="P42" s="89"/>
      <c r="Q42" s="89"/>
      <c r="R42" s="89"/>
      <c r="S42" s="139"/>
      <c r="T42" s="75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7"/>
      <c r="BK42" s="5"/>
      <c r="BL42" s="5"/>
      <c r="BM42" s="5"/>
      <c r="BN42" s="5"/>
      <c r="BO42" s="5"/>
      <c r="BP42" s="5"/>
      <c r="BQ42" s="5"/>
      <c r="BR42" s="5"/>
    </row>
    <row r="43" spans="1:189" ht="14" customHeight="1" thickBot="1">
      <c r="A43" s="5"/>
      <c r="B43" s="77"/>
      <c r="C43" s="142"/>
      <c r="D43" s="143"/>
      <c r="E43" s="144"/>
      <c r="F43" s="144"/>
      <c r="G43" s="144"/>
      <c r="H43" s="144"/>
      <c r="I43" s="144"/>
      <c r="J43" s="144"/>
      <c r="K43" s="145"/>
      <c r="L43" s="144"/>
      <c r="M43" s="144"/>
      <c r="N43" s="144"/>
      <c r="O43" s="144"/>
      <c r="P43" s="144"/>
      <c r="Q43" s="144"/>
      <c r="R43" s="144"/>
      <c r="S43" s="146"/>
      <c r="T43" s="78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7"/>
      <c r="BK43" s="5"/>
      <c r="BL43" s="5"/>
      <c r="BM43" s="5"/>
      <c r="BN43" s="5"/>
      <c r="BO43" s="5"/>
      <c r="BP43" s="5"/>
      <c r="BQ43" s="5"/>
      <c r="BR43" s="5"/>
    </row>
    <row r="44" spans="1:189" ht="14" customHeight="1" thickBot="1">
      <c r="A44" s="5"/>
      <c r="B44" s="79"/>
      <c r="C44" s="80"/>
      <c r="D44" s="80"/>
      <c r="E44" s="80"/>
      <c r="F44" s="80"/>
      <c r="G44" s="80"/>
      <c r="H44" s="80"/>
      <c r="I44" s="80"/>
      <c r="J44" s="80"/>
      <c r="K44" s="81"/>
      <c r="L44" s="80"/>
      <c r="M44" s="80"/>
      <c r="N44" s="80"/>
      <c r="O44" s="80"/>
      <c r="P44" s="80"/>
      <c r="Q44" s="80"/>
      <c r="R44" s="80"/>
      <c r="S44" s="80"/>
      <c r="T44" s="82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7"/>
      <c r="BK44" s="5"/>
      <c r="BL44" s="5"/>
      <c r="BM44" s="5"/>
      <c r="BN44" s="5"/>
      <c r="BO44" s="5"/>
      <c r="BP44" s="5"/>
      <c r="BQ44" s="5"/>
      <c r="BR44" s="5"/>
    </row>
    <row r="45" spans="1:189" ht="12" customHeight="1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7"/>
      <c r="BK45" s="5"/>
      <c r="BL45" s="5"/>
      <c r="BM45" s="5"/>
      <c r="BN45" s="5"/>
      <c r="BO45" s="5"/>
      <c r="BP45" s="5"/>
      <c r="BQ45" s="5"/>
      <c r="BR45" s="5"/>
    </row>
    <row r="46" spans="1:189" ht="12" customHeight="1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7"/>
      <c r="BK46" s="5"/>
      <c r="BL46" s="5"/>
      <c r="BM46" s="5"/>
      <c r="BN46" s="5"/>
      <c r="BO46" s="5"/>
      <c r="BP46" s="5"/>
      <c r="BQ46" s="5"/>
      <c r="BR46" s="5"/>
    </row>
    <row r="47" spans="1:189" ht="12.75" customHeight="1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7"/>
      <c r="BK47" s="5"/>
      <c r="BL47" s="5"/>
      <c r="BM47" s="5"/>
      <c r="BN47" s="5"/>
      <c r="BO47" s="5"/>
      <c r="BP47" s="5"/>
      <c r="BQ47" s="5"/>
      <c r="BR47" s="5"/>
    </row>
    <row r="48" spans="1:189" ht="12.75" customHeight="1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19"/>
    </row>
    <row r="49" spans="3:62" ht="12.75" customHeight="1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19"/>
    </row>
    <row r="50" spans="3:62" ht="12.75" customHeight="1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19"/>
    </row>
    <row r="51" spans="3:62" ht="12.75" customHeight="1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19"/>
    </row>
    <row r="52" spans="3:62" ht="12.75" customHeight="1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19"/>
    </row>
    <row r="53" spans="3:62" ht="12.75" customHeight="1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19"/>
    </row>
    <row r="54" spans="3:62" ht="12.75" customHeight="1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19"/>
    </row>
    <row r="55" spans="3:62" ht="12.75" customHeight="1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19"/>
    </row>
    <row r="56" spans="3:62" ht="12.75" customHeight="1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19"/>
    </row>
    <row r="57" spans="3:62" s="1" customFormat="1" ht="12.75" customHeight="1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19"/>
    </row>
    <row r="58" spans="3:62" s="1" customFormat="1" ht="12.75" customHeight="1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19"/>
    </row>
    <row r="59" spans="3:62" s="1" customFormat="1" ht="12.75" customHeight="1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19"/>
    </row>
    <row r="60" spans="3:62" s="1" customFormat="1" ht="12.75" customHeight="1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19"/>
    </row>
    <row r="61" spans="3:62" s="1" customFormat="1" ht="12.75" customHeight="1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19"/>
    </row>
    <row r="62" spans="3:62" s="1" customFormat="1" ht="12.75" customHeight="1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19"/>
    </row>
    <row r="63" spans="3:62" s="1" customFormat="1" ht="12.75" customHeight="1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19"/>
    </row>
    <row r="64" spans="3:62" s="1" customFormat="1" ht="12.75" customHeight="1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19"/>
    </row>
    <row r="65" spans="3:62" s="1" customFormat="1" ht="12.75" customHeight="1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19"/>
    </row>
    <row r="66" spans="3:62" s="1" customFormat="1" ht="12.75" customHeight="1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19"/>
    </row>
    <row r="67" spans="3:62" s="1" customFormat="1" ht="12.75" customHeight="1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19"/>
    </row>
    <row r="68" spans="3:62" s="1" customFormat="1" ht="12.75" customHeight="1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</row>
    <row r="69" spans="3:62" s="1" customFormat="1" ht="12.75" customHeight="1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</row>
    <row r="70" spans="3:62" s="1" customFormat="1" ht="12.75" customHeight="1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</row>
    <row r="71" spans="3:62" s="1" customFormat="1" ht="12.75" customHeight="1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</row>
    <row r="72" spans="3:62" s="1" customFormat="1" ht="12.75" customHeight="1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</row>
    <row r="73" spans="3:62" s="1" customFormat="1" ht="12.75" customHeight="1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</row>
    <row r="74" spans="3:62" s="1" customFormat="1" ht="12.75" customHeight="1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</row>
    <row r="75" spans="3:62" s="1" customFormat="1" ht="12.75" customHeight="1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</row>
    <row r="76" spans="3:62" s="1" customFormat="1" ht="12.75" customHeight="1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</row>
    <row r="77" spans="3:62" s="1" customFormat="1" ht="12.75" customHeight="1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</row>
    <row r="78" spans="3:62" s="1" customFormat="1" ht="12.75" customHeight="1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</row>
    <row r="79" spans="3:62" s="1" customFormat="1" ht="12.75" customHeight="1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</row>
    <row r="80" spans="3:62" s="1" customFormat="1" ht="12.75" customHeight="1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</row>
    <row r="81" spans="3:62" s="1" customFormat="1" ht="12.75" customHeight="1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</row>
    <row r="82" spans="3:62" s="1" customFormat="1" ht="12.75" customHeight="1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</row>
    <row r="83" spans="3:62" s="1" customFormat="1" ht="12.75" customHeight="1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</row>
    <row r="84" spans="3:62" s="1" customFormat="1" ht="12.75" customHeight="1">
      <c r="U84" s="19"/>
      <c r="V84" s="19"/>
      <c r="W84" s="19"/>
      <c r="X84" s="19"/>
      <c r="Y84" s="19"/>
      <c r="Z84" s="19"/>
      <c r="AA84" s="19"/>
      <c r="AB84" s="19"/>
      <c r="AC84" s="19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</row>
    <row r="85" spans="3:62" s="1" customFormat="1" ht="12.75" customHeight="1">
      <c r="U85" s="19"/>
      <c r="V85" s="19"/>
      <c r="W85" s="19"/>
      <c r="X85" s="19"/>
      <c r="Y85" s="19"/>
      <c r="Z85" s="19"/>
      <c r="AA85" s="19"/>
      <c r="AB85" s="19"/>
      <c r="AC85" s="19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</row>
    <row r="86" spans="3:62" s="1" customFormat="1" ht="12.75" customHeight="1">
      <c r="U86" s="19"/>
      <c r="V86" s="19"/>
      <c r="W86" s="19"/>
      <c r="X86" s="19"/>
      <c r="Y86" s="19"/>
      <c r="Z86" s="19"/>
      <c r="AA86" s="19"/>
      <c r="AB86" s="19"/>
      <c r="AC86" s="19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</row>
    <row r="87" spans="3:62" s="1" customFormat="1" ht="12.75" customHeight="1">
      <c r="U87" s="19"/>
      <c r="V87" s="19"/>
      <c r="W87" s="19"/>
      <c r="X87" s="19"/>
      <c r="Y87" s="19"/>
      <c r="Z87" s="19"/>
      <c r="AA87" s="19"/>
      <c r="AB87" s="19"/>
      <c r="AC87" s="19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</row>
    <row r="88" spans="3:62" s="1" customFormat="1" ht="12.75" customHeight="1">
      <c r="U88" s="19"/>
      <c r="V88" s="19"/>
      <c r="W88" s="19"/>
      <c r="X88" s="19"/>
      <c r="Y88" s="19"/>
      <c r="Z88" s="19"/>
      <c r="AA88" s="19"/>
      <c r="AB88" s="19"/>
      <c r="AC88" s="19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</row>
    <row r="89" spans="3:62" s="1" customFormat="1" ht="12.75" customHeight="1">
      <c r="U89" s="19"/>
      <c r="V89" s="19"/>
      <c r="W89" s="19"/>
      <c r="X89" s="19"/>
      <c r="Y89" s="19"/>
      <c r="Z89" s="19"/>
      <c r="AA89" s="19"/>
      <c r="AB89" s="19"/>
      <c r="AC89" s="19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</row>
    <row r="90" spans="3:62" s="1" customFormat="1" ht="12.75" customHeight="1">
      <c r="U90" s="19"/>
      <c r="V90" s="19"/>
      <c r="W90" s="19"/>
      <c r="X90" s="19"/>
      <c r="Y90" s="19"/>
      <c r="Z90" s="19"/>
      <c r="AA90" s="19"/>
      <c r="AB90" s="19"/>
      <c r="AC90" s="19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</row>
    <row r="91" spans="3:62" s="1" customFormat="1" ht="12.75" customHeight="1">
      <c r="U91" s="19"/>
      <c r="V91" s="19"/>
      <c r="W91" s="19"/>
      <c r="X91" s="19"/>
      <c r="Y91" s="19"/>
      <c r="Z91" s="19"/>
      <c r="AA91" s="19"/>
      <c r="AB91" s="19"/>
      <c r="AC91" s="19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</row>
    <row r="92" spans="3:62" s="1" customFormat="1" ht="12.75" customHeight="1">
      <c r="U92" s="19"/>
      <c r="V92" s="19"/>
      <c r="W92" s="19"/>
      <c r="X92" s="19"/>
      <c r="Y92" s="19"/>
      <c r="Z92" s="19"/>
      <c r="AA92" s="19"/>
      <c r="AB92" s="19"/>
      <c r="AC92" s="19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</row>
    <row r="93" spans="3:62" s="1" customFormat="1" ht="12.75" customHeight="1">
      <c r="U93" s="19"/>
      <c r="V93" s="19"/>
      <c r="W93" s="19"/>
      <c r="X93" s="19"/>
      <c r="Y93" s="19"/>
      <c r="Z93" s="19"/>
      <c r="AA93" s="19"/>
      <c r="AB93" s="19"/>
      <c r="AC93" s="19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</row>
    <row r="94" spans="3:62" s="1" customFormat="1" ht="12.75" customHeight="1">
      <c r="U94" s="19"/>
      <c r="V94" s="19"/>
      <c r="W94" s="19"/>
      <c r="X94" s="19"/>
      <c r="Y94" s="19"/>
      <c r="Z94" s="19"/>
      <c r="AA94" s="19"/>
      <c r="AB94" s="19"/>
      <c r="AC94" s="19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</row>
    <row r="95" spans="3:62" s="1" customFormat="1" ht="12.75" customHeight="1">
      <c r="U95" s="19"/>
      <c r="V95" s="19"/>
      <c r="W95" s="19"/>
      <c r="X95" s="19"/>
      <c r="Y95" s="19"/>
      <c r="Z95" s="19"/>
      <c r="AA95" s="19"/>
      <c r="AB95" s="19"/>
      <c r="AC95" s="19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</row>
    <row r="96" spans="3:62" s="1" customFormat="1" ht="12.75" customHeight="1">
      <c r="U96" s="19"/>
      <c r="V96" s="19"/>
      <c r="W96" s="19"/>
      <c r="X96" s="19"/>
      <c r="Y96" s="19"/>
      <c r="Z96" s="19"/>
      <c r="AA96" s="19"/>
      <c r="AB96" s="19"/>
      <c r="AC96" s="19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</row>
    <row r="97" spans="21:62" s="1" customFormat="1" ht="12.75" customHeight="1">
      <c r="U97" s="19"/>
      <c r="V97" s="19"/>
      <c r="W97" s="19"/>
      <c r="X97" s="19"/>
      <c r="Y97" s="19"/>
      <c r="Z97" s="19"/>
      <c r="AA97" s="19"/>
      <c r="AB97" s="19"/>
      <c r="AC97" s="19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</row>
    <row r="98" spans="21:62" s="1" customFormat="1" ht="12.75" customHeight="1">
      <c r="U98" s="19"/>
      <c r="V98" s="19"/>
      <c r="W98" s="19"/>
      <c r="X98" s="19"/>
      <c r="Y98" s="19"/>
      <c r="Z98" s="19"/>
      <c r="AA98" s="19"/>
      <c r="AB98" s="19"/>
      <c r="AC98" s="19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</row>
    <row r="99" spans="21:62" s="1" customFormat="1" ht="12.75" customHeight="1">
      <c r="U99" s="19"/>
      <c r="V99" s="19"/>
      <c r="W99" s="19"/>
      <c r="X99" s="19"/>
      <c r="Y99" s="19"/>
      <c r="Z99" s="19"/>
      <c r="AA99" s="19"/>
      <c r="AB99" s="19"/>
      <c r="AC99" s="19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</row>
    <row r="100" spans="21:62" s="1" customFormat="1" ht="12.75" customHeight="1">
      <c r="U100" s="19"/>
      <c r="V100" s="19"/>
      <c r="W100" s="19"/>
      <c r="X100" s="19"/>
      <c r="Y100" s="19"/>
      <c r="Z100" s="19"/>
      <c r="AA100" s="19"/>
      <c r="AB100" s="19"/>
      <c r="AC100" s="19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</row>
    <row r="101" spans="21:62" s="1" customFormat="1" ht="12.75" customHeight="1">
      <c r="U101" s="19"/>
      <c r="V101" s="19"/>
      <c r="W101" s="19"/>
      <c r="X101" s="19"/>
      <c r="Y101" s="19"/>
      <c r="Z101" s="19"/>
      <c r="AA101" s="19"/>
      <c r="AB101" s="19"/>
      <c r="AC101" s="19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</row>
    <row r="102" spans="21:62" s="1" customFormat="1" ht="12.75" customHeight="1">
      <c r="U102" s="19"/>
      <c r="V102" s="19"/>
      <c r="W102" s="19"/>
      <c r="X102" s="19"/>
      <c r="Y102" s="19"/>
      <c r="Z102" s="19"/>
      <c r="AA102" s="19"/>
      <c r="AB102" s="19"/>
      <c r="AC102" s="19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</row>
    <row r="103" spans="21:62" s="1" customFormat="1" ht="12.75" customHeight="1">
      <c r="U103" s="19"/>
      <c r="V103" s="19"/>
      <c r="W103" s="19"/>
      <c r="X103" s="19"/>
      <c r="Y103" s="19"/>
      <c r="Z103" s="19"/>
      <c r="AA103" s="19"/>
      <c r="AB103" s="19"/>
      <c r="AC103" s="19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</row>
    <row r="104" spans="21:62" s="1" customFormat="1" ht="12.75" customHeight="1">
      <c r="U104" s="19"/>
      <c r="V104" s="19"/>
      <c r="W104" s="19"/>
      <c r="X104" s="19"/>
      <c r="Y104" s="19"/>
      <c r="Z104" s="19"/>
      <c r="AA104" s="19"/>
      <c r="AB104" s="19"/>
      <c r="AC104" s="19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</row>
    <row r="105" spans="21:62" s="1" customFormat="1" ht="12.75" customHeight="1">
      <c r="U105" s="19"/>
      <c r="V105" s="19"/>
      <c r="W105" s="19"/>
      <c r="X105" s="19"/>
      <c r="Y105" s="19"/>
      <c r="Z105" s="19"/>
      <c r="AA105" s="19"/>
      <c r="AB105" s="19"/>
      <c r="AC105" s="19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</row>
    <row r="106" spans="21:62" s="1" customFormat="1" ht="12.75" customHeight="1">
      <c r="U106" s="19"/>
      <c r="V106" s="19"/>
      <c r="W106" s="19"/>
      <c r="X106" s="19"/>
      <c r="Y106" s="19"/>
      <c r="Z106" s="19"/>
      <c r="AA106" s="19"/>
      <c r="AB106" s="19"/>
      <c r="AC106" s="19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</row>
    <row r="107" spans="21:62" s="1" customFormat="1" ht="12.75" customHeight="1">
      <c r="U107" s="19"/>
      <c r="V107" s="19"/>
      <c r="W107" s="19"/>
      <c r="X107" s="19"/>
      <c r="Y107" s="19"/>
      <c r="Z107" s="19"/>
      <c r="AA107" s="19"/>
      <c r="AB107" s="19"/>
      <c r="AC107" s="19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</row>
    <row r="108" spans="21:62" s="1" customFormat="1" ht="12.75" customHeight="1">
      <c r="U108" s="19"/>
      <c r="V108" s="19"/>
      <c r="W108" s="19"/>
      <c r="X108" s="19"/>
      <c r="Y108" s="19"/>
      <c r="Z108" s="19"/>
      <c r="AA108" s="19"/>
      <c r="AB108" s="19"/>
      <c r="AC108" s="19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</row>
    <row r="109" spans="21:62" s="1" customFormat="1" ht="12.75" customHeight="1">
      <c r="U109" s="19"/>
      <c r="V109" s="19"/>
      <c r="W109" s="19"/>
      <c r="X109" s="19"/>
      <c r="Y109" s="19"/>
      <c r="Z109" s="19"/>
      <c r="AA109" s="19"/>
      <c r="AB109" s="19"/>
      <c r="AC109" s="19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</row>
    <row r="110" spans="21:62" s="1" customFormat="1" ht="12.75" customHeight="1">
      <c r="U110" s="19"/>
      <c r="V110" s="19"/>
      <c r="W110" s="19"/>
      <c r="X110" s="19"/>
      <c r="Y110" s="19"/>
      <c r="Z110" s="19"/>
      <c r="AA110" s="19"/>
      <c r="AB110" s="19"/>
      <c r="AC110" s="19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</row>
    <row r="111" spans="21:62" s="1" customFormat="1" ht="12.75" customHeight="1">
      <c r="U111" s="19"/>
      <c r="V111" s="19"/>
      <c r="W111" s="19"/>
      <c r="X111" s="19"/>
      <c r="Y111" s="19"/>
      <c r="Z111" s="19"/>
      <c r="AA111" s="19"/>
      <c r="AB111" s="19"/>
      <c r="AC111" s="19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</row>
    <row r="112" spans="21:62" s="1" customFormat="1" ht="12.75" customHeight="1">
      <c r="U112" s="19"/>
      <c r="V112" s="19"/>
      <c r="W112" s="19"/>
      <c r="X112" s="19"/>
      <c r="Y112" s="19"/>
      <c r="Z112" s="19"/>
      <c r="AA112" s="19"/>
      <c r="AB112" s="19"/>
      <c r="AC112" s="19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</row>
    <row r="113" spans="21:62" s="1" customFormat="1" ht="12.75" customHeight="1">
      <c r="U113" s="19"/>
      <c r="V113" s="19"/>
      <c r="W113" s="19"/>
      <c r="X113" s="19"/>
      <c r="Y113" s="19"/>
      <c r="Z113" s="19"/>
      <c r="AA113" s="19"/>
      <c r="AB113" s="19"/>
      <c r="AC113" s="19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</row>
    <row r="114" spans="21:62" s="1" customFormat="1" ht="12.75" customHeight="1">
      <c r="U114" s="19"/>
      <c r="V114" s="19"/>
      <c r="W114" s="19"/>
      <c r="X114" s="19"/>
      <c r="Y114" s="19"/>
      <c r="Z114" s="19"/>
      <c r="AA114" s="19"/>
      <c r="AB114" s="19"/>
      <c r="AC114" s="19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</row>
    <row r="115" spans="21:62" s="1" customFormat="1" ht="12.75" customHeight="1">
      <c r="U115" s="19"/>
      <c r="V115" s="19"/>
      <c r="W115" s="19"/>
      <c r="X115" s="19"/>
      <c r="Y115" s="19"/>
      <c r="Z115" s="19"/>
      <c r="AA115" s="19"/>
      <c r="AB115" s="19"/>
      <c r="AC115" s="19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</row>
    <row r="116" spans="21:62" s="1" customFormat="1" ht="12.75" customHeight="1">
      <c r="U116" s="19"/>
      <c r="V116" s="19"/>
      <c r="W116" s="19"/>
      <c r="X116" s="19"/>
      <c r="Y116" s="19"/>
      <c r="Z116" s="19"/>
      <c r="AA116" s="19"/>
      <c r="AB116" s="19"/>
      <c r="AC116" s="19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</row>
    <row r="117" spans="21:62" s="1" customFormat="1" ht="12.75" customHeight="1">
      <c r="U117" s="19"/>
      <c r="V117" s="19"/>
      <c r="W117" s="19"/>
      <c r="X117" s="19"/>
      <c r="Y117" s="19"/>
      <c r="Z117" s="19"/>
      <c r="AA117" s="19"/>
      <c r="AB117" s="19"/>
      <c r="AC117" s="19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</row>
    <row r="118" spans="21:62" s="1" customFormat="1" ht="12.75" customHeight="1">
      <c r="U118" s="19"/>
      <c r="V118" s="19"/>
      <c r="W118" s="19"/>
      <c r="X118" s="19"/>
      <c r="Y118" s="19"/>
      <c r="Z118" s="19"/>
      <c r="AA118" s="19"/>
      <c r="AB118" s="19"/>
      <c r="AC118" s="19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</row>
    <row r="119" spans="21:62" s="1" customFormat="1" ht="12.75" customHeight="1">
      <c r="U119" s="19"/>
      <c r="V119" s="19"/>
      <c r="W119" s="19"/>
      <c r="X119" s="19"/>
      <c r="Y119" s="19"/>
      <c r="Z119" s="19"/>
      <c r="AA119" s="19"/>
      <c r="AB119" s="19"/>
      <c r="AC119" s="19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</row>
    <row r="120" spans="21:62" s="1" customFormat="1" ht="12.75" customHeight="1">
      <c r="U120" s="19"/>
      <c r="V120" s="19"/>
      <c r="W120" s="19"/>
      <c r="X120" s="19"/>
      <c r="Y120" s="19"/>
      <c r="Z120" s="19"/>
      <c r="AA120" s="19"/>
      <c r="AB120" s="19"/>
      <c r="AC120" s="19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</row>
    <row r="121" spans="21:62" s="1" customFormat="1" ht="12.75" customHeight="1">
      <c r="U121" s="19"/>
      <c r="V121" s="19"/>
      <c r="W121" s="19"/>
      <c r="X121" s="19"/>
      <c r="Y121" s="19"/>
      <c r="Z121" s="19"/>
      <c r="AA121" s="19"/>
      <c r="AB121" s="19"/>
      <c r="AC121" s="19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</row>
    <row r="122" spans="21:62" s="1" customFormat="1" ht="12.75" customHeight="1">
      <c r="U122" s="19"/>
      <c r="V122" s="19"/>
      <c r="W122" s="19"/>
      <c r="X122" s="19"/>
      <c r="Y122" s="19"/>
      <c r="Z122" s="19"/>
      <c r="AA122" s="19"/>
      <c r="AB122" s="19"/>
      <c r="AC122" s="19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</row>
    <row r="123" spans="21:62" s="1" customFormat="1" ht="12.75" customHeight="1">
      <c r="U123" s="19"/>
      <c r="V123" s="19"/>
      <c r="W123" s="19"/>
      <c r="X123" s="19"/>
      <c r="Y123" s="19"/>
      <c r="Z123" s="19"/>
      <c r="AA123" s="19"/>
      <c r="AB123" s="19"/>
      <c r="AC123" s="19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</row>
    <row r="124" spans="21:62" s="1" customFormat="1" ht="12.75" customHeight="1">
      <c r="U124" s="19"/>
      <c r="V124" s="19"/>
      <c r="W124" s="19"/>
      <c r="X124" s="19"/>
      <c r="Y124" s="19"/>
      <c r="Z124" s="19"/>
      <c r="AA124" s="19"/>
      <c r="AB124" s="19"/>
      <c r="AC124" s="19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</row>
    <row r="125" spans="21:62" s="1" customFormat="1" ht="12.75" customHeight="1">
      <c r="U125" s="19"/>
      <c r="V125" s="19"/>
      <c r="W125" s="19"/>
      <c r="X125" s="19"/>
      <c r="Y125" s="19"/>
      <c r="Z125" s="19"/>
      <c r="AA125" s="19"/>
      <c r="AB125" s="19"/>
      <c r="AC125" s="19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</row>
    <row r="126" spans="21:62" s="1" customFormat="1" ht="12.75" customHeight="1">
      <c r="U126" s="19"/>
      <c r="V126" s="19"/>
      <c r="W126" s="19"/>
      <c r="X126" s="19"/>
      <c r="Y126" s="19"/>
      <c r="Z126" s="19"/>
      <c r="AA126" s="19"/>
      <c r="AB126" s="19"/>
      <c r="AC126" s="19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</row>
    <row r="127" spans="21:62" s="1" customFormat="1" ht="12.75" customHeight="1">
      <c r="U127" s="19"/>
      <c r="V127" s="19"/>
      <c r="W127" s="19"/>
      <c r="X127" s="19"/>
      <c r="Y127" s="19"/>
      <c r="Z127" s="19"/>
      <c r="AA127" s="19"/>
      <c r="AB127" s="19"/>
      <c r="AC127" s="19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</row>
    <row r="128" spans="21:62" s="1" customFormat="1" ht="12.75" customHeight="1">
      <c r="U128" s="19"/>
      <c r="V128" s="19"/>
      <c r="W128" s="19"/>
      <c r="X128" s="19"/>
      <c r="Y128" s="19"/>
      <c r="Z128" s="19"/>
      <c r="AA128" s="19"/>
      <c r="AB128" s="19"/>
      <c r="AC128" s="19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</row>
    <row r="129" spans="21:62" s="1" customFormat="1" ht="12.75" customHeight="1">
      <c r="U129" s="19"/>
      <c r="V129" s="19"/>
      <c r="W129" s="19"/>
      <c r="X129" s="19"/>
      <c r="Y129" s="19"/>
      <c r="Z129" s="19"/>
      <c r="AA129" s="19"/>
      <c r="AB129" s="19"/>
      <c r="AC129" s="19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</row>
    <row r="130" spans="21:62" s="1" customFormat="1" ht="12.75" customHeight="1">
      <c r="U130" s="19"/>
      <c r="V130" s="19"/>
      <c r="W130" s="19"/>
      <c r="X130" s="19"/>
      <c r="Y130" s="19"/>
      <c r="Z130" s="19"/>
      <c r="AA130" s="19"/>
      <c r="AB130" s="19"/>
      <c r="AC130" s="19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</row>
    <row r="131" spans="21:62" s="1" customFormat="1" ht="12.75" customHeight="1">
      <c r="U131" s="19"/>
      <c r="V131" s="19"/>
      <c r="W131" s="19"/>
      <c r="X131" s="19"/>
      <c r="Y131" s="19"/>
      <c r="Z131" s="19"/>
      <c r="AA131" s="19"/>
      <c r="AB131" s="19"/>
      <c r="AC131" s="19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</row>
    <row r="132" spans="21:62" s="1" customFormat="1" ht="12.75" customHeight="1">
      <c r="U132" s="19"/>
      <c r="V132" s="19"/>
      <c r="W132" s="19"/>
      <c r="X132" s="19"/>
      <c r="Y132" s="19"/>
      <c r="Z132" s="19"/>
      <c r="AA132" s="19"/>
      <c r="AB132" s="19"/>
      <c r="AC132" s="19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</row>
    <row r="133" spans="21:62" s="1" customFormat="1" ht="12.75" customHeight="1">
      <c r="U133" s="19"/>
      <c r="V133" s="19"/>
      <c r="W133" s="19"/>
      <c r="X133" s="19"/>
      <c r="Y133" s="19"/>
      <c r="Z133" s="19"/>
      <c r="AA133" s="19"/>
      <c r="AB133" s="19"/>
      <c r="AC133" s="19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</row>
    <row r="134" spans="21:62" s="1" customFormat="1" ht="12.75" customHeight="1">
      <c r="U134" s="19"/>
      <c r="V134" s="19"/>
      <c r="W134" s="19"/>
      <c r="X134" s="19"/>
      <c r="Y134" s="19"/>
      <c r="Z134" s="19"/>
      <c r="AA134" s="19"/>
      <c r="AB134" s="19"/>
      <c r="AC134" s="19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</row>
    <row r="135" spans="21:62" s="1" customFormat="1" ht="12.75" customHeight="1">
      <c r="U135" s="19"/>
      <c r="V135" s="19"/>
      <c r="W135" s="19"/>
      <c r="X135" s="19"/>
      <c r="Y135" s="19"/>
      <c r="Z135" s="19"/>
      <c r="AA135" s="19"/>
      <c r="AB135" s="19"/>
      <c r="AC135" s="19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</row>
    <row r="136" spans="21:62" s="1" customFormat="1" ht="12.75" customHeight="1">
      <c r="U136" s="19"/>
      <c r="V136" s="19"/>
      <c r="W136" s="19"/>
      <c r="X136" s="19"/>
      <c r="Y136" s="19"/>
      <c r="Z136" s="19"/>
      <c r="AA136" s="19"/>
      <c r="AB136" s="19"/>
      <c r="AC136" s="19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</row>
    <row r="137" spans="21:62" s="1" customFormat="1" ht="12.75" customHeight="1">
      <c r="U137" s="19"/>
      <c r="V137" s="19"/>
      <c r="W137" s="19"/>
      <c r="X137" s="19"/>
      <c r="Y137" s="19"/>
      <c r="Z137" s="19"/>
      <c r="AA137" s="19"/>
      <c r="AB137" s="19"/>
      <c r="AC137" s="19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</row>
    <row r="138" spans="21:62" s="1" customFormat="1" ht="12.75" customHeight="1">
      <c r="U138" s="19"/>
      <c r="V138" s="19"/>
      <c r="W138" s="19"/>
      <c r="X138" s="19"/>
      <c r="Y138" s="19"/>
      <c r="Z138" s="19"/>
      <c r="AA138" s="19"/>
      <c r="AB138" s="19"/>
      <c r="AC138" s="19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</row>
    <row r="139" spans="21:62" s="1" customFormat="1" ht="12.75" customHeight="1">
      <c r="U139" s="19"/>
      <c r="V139" s="19"/>
      <c r="W139" s="19"/>
      <c r="X139" s="19"/>
      <c r="Y139" s="19"/>
      <c r="Z139" s="19"/>
      <c r="AA139" s="19"/>
      <c r="AB139" s="19"/>
      <c r="AC139" s="19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</row>
    <row r="140" spans="21:62" s="1" customFormat="1" ht="12.75" customHeight="1">
      <c r="U140" s="19"/>
      <c r="V140" s="19"/>
      <c r="W140" s="19"/>
      <c r="X140" s="19"/>
      <c r="Y140" s="19"/>
      <c r="Z140" s="19"/>
      <c r="AA140" s="19"/>
      <c r="AB140" s="19"/>
      <c r="AC140" s="19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</row>
    <row r="141" spans="21:62" s="1" customFormat="1" ht="12.75" customHeight="1">
      <c r="U141" s="19"/>
      <c r="V141" s="19"/>
      <c r="W141" s="19"/>
      <c r="X141" s="19"/>
      <c r="Y141" s="19"/>
      <c r="Z141" s="19"/>
      <c r="AA141" s="19"/>
      <c r="AB141" s="19"/>
      <c r="AC141" s="19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</row>
    <row r="142" spans="21:62" s="1" customFormat="1" ht="12.75" customHeight="1">
      <c r="U142" s="19"/>
      <c r="V142" s="19"/>
      <c r="W142" s="19"/>
      <c r="X142" s="19"/>
      <c r="Y142" s="19"/>
      <c r="Z142" s="19"/>
      <c r="AA142" s="19"/>
      <c r="AB142" s="19"/>
      <c r="AC142" s="19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</row>
    <row r="143" spans="21:62" s="1" customFormat="1" ht="12.75" customHeight="1">
      <c r="U143" s="19"/>
      <c r="V143" s="19"/>
      <c r="W143" s="19"/>
      <c r="X143" s="19"/>
      <c r="Y143" s="19"/>
      <c r="Z143" s="19"/>
      <c r="AA143" s="19"/>
      <c r="AB143" s="19"/>
      <c r="AC143" s="19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</row>
    <row r="144" spans="21:62" s="1" customFormat="1" ht="12.75" customHeight="1">
      <c r="U144" s="19"/>
      <c r="V144" s="19"/>
      <c r="W144" s="19"/>
      <c r="X144" s="19"/>
      <c r="Y144" s="19"/>
      <c r="Z144" s="19"/>
      <c r="AA144" s="19"/>
      <c r="AB144" s="19"/>
      <c r="AC144" s="19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</row>
    <row r="145" spans="21:62" s="1" customFormat="1" ht="12.75" customHeight="1">
      <c r="U145" s="19"/>
      <c r="V145" s="19"/>
      <c r="W145" s="19"/>
      <c r="X145" s="19"/>
      <c r="Y145" s="19"/>
      <c r="Z145" s="19"/>
      <c r="AA145" s="19"/>
      <c r="AB145" s="19"/>
      <c r="AC145" s="19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</row>
    <row r="146" spans="21:62" s="1" customFormat="1" ht="12.75" customHeight="1">
      <c r="U146" s="19"/>
      <c r="V146" s="19"/>
      <c r="W146" s="19"/>
      <c r="X146" s="19"/>
      <c r="Y146" s="19"/>
      <c r="Z146" s="19"/>
      <c r="AA146" s="19"/>
      <c r="AB146" s="19"/>
      <c r="AC146" s="19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</row>
    <row r="147" spans="21:62" s="1" customFormat="1" ht="12.75" customHeight="1">
      <c r="U147" s="19"/>
      <c r="V147" s="19"/>
      <c r="W147" s="19"/>
      <c r="X147" s="19"/>
      <c r="Y147" s="19"/>
      <c r="Z147" s="19"/>
      <c r="AA147" s="19"/>
      <c r="AB147" s="19"/>
      <c r="AC147" s="19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</row>
    <row r="148" spans="21:62" s="1" customFormat="1" ht="12.75" customHeight="1">
      <c r="U148" s="19"/>
      <c r="V148" s="19"/>
      <c r="W148" s="19"/>
      <c r="X148" s="19"/>
      <c r="Y148" s="19"/>
      <c r="Z148" s="19"/>
      <c r="AA148" s="19"/>
      <c r="AB148" s="19"/>
      <c r="AC148" s="19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</row>
    <row r="149" spans="21:62" s="1" customFormat="1" ht="12.75" customHeight="1">
      <c r="U149" s="19"/>
      <c r="V149" s="19"/>
      <c r="W149" s="19"/>
      <c r="X149" s="19"/>
      <c r="Y149" s="19"/>
      <c r="Z149" s="19"/>
      <c r="AA149" s="19"/>
      <c r="AB149" s="19"/>
      <c r="AC149" s="19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</row>
    <row r="150" spans="21:62" s="1" customFormat="1" ht="12.75" customHeight="1">
      <c r="U150" s="19"/>
      <c r="V150" s="19"/>
      <c r="W150" s="19"/>
      <c r="X150" s="19"/>
      <c r="Y150" s="19"/>
      <c r="Z150" s="19"/>
      <c r="AA150" s="19"/>
      <c r="AB150" s="19"/>
      <c r="AC150" s="19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</row>
    <row r="151" spans="21:62" s="1" customFormat="1" ht="12.75" customHeight="1">
      <c r="U151" s="19"/>
      <c r="V151" s="19"/>
      <c r="W151" s="19"/>
      <c r="X151" s="19"/>
      <c r="Y151" s="19"/>
      <c r="Z151" s="19"/>
      <c r="AA151" s="19"/>
      <c r="AB151" s="19"/>
      <c r="AC151" s="19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</row>
    <row r="152" spans="21:62" s="1" customFormat="1" ht="12.75" customHeight="1">
      <c r="U152" s="19"/>
      <c r="V152" s="19"/>
      <c r="W152" s="19"/>
      <c r="X152" s="19"/>
      <c r="Y152" s="19"/>
      <c r="Z152" s="19"/>
      <c r="AA152" s="19"/>
      <c r="AB152" s="19"/>
      <c r="AC152" s="19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</row>
    <row r="153" spans="21:62" s="1" customFormat="1" ht="12.75" customHeight="1">
      <c r="U153" s="19"/>
      <c r="V153" s="19"/>
      <c r="W153" s="19"/>
      <c r="X153" s="19"/>
      <c r="Y153" s="19"/>
      <c r="Z153" s="19"/>
      <c r="AA153" s="19"/>
      <c r="AB153" s="19"/>
      <c r="AC153" s="19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</row>
    <row r="154" spans="21:62" s="1" customFormat="1" ht="12.75" customHeight="1">
      <c r="U154" s="19"/>
      <c r="V154" s="19"/>
      <c r="W154" s="19"/>
      <c r="X154" s="19"/>
      <c r="Y154" s="19"/>
      <c r="Z154" s="19"/>
      <c r="AA154" s="19"/>
      <c r="AB154" s="19"/>
      <c r="AC154" s="19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</row>
    <row r="155" spans="21:62" s="1" customFormat="1" ht="12.75" customHeight="1">
      <c r="U155" s="19"/>
      <c r="V155" s="19"/>
      <c r="W155" s="19"/>
      <c r="X155" s="19"/>
      <c r="Y155" s="19"/>
      <c r="Z155" s="19"/>
      <c r="AA155" s="19"/>
      <c r="AB155" s="19"/>
      <c r="AC155" s="19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</row>
    <row r="156" spans="21:62" s="1" customFormat="1" ht="12.75" customHeight="1">
      <c r="U156" s="19"/>
      <c r="V156" s="19"/>
      <c r="W156" s="19"/>
      <c r="X156" s="19"/>
      <c r="Y156" s="19"/>
      <c r="Z156" s="19"/>
      <c r="AA156" s="19"/>
      <c r="AB156" s="19"/>
      <c r="AC156" s="19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</row>
    <row r="157" spans="21:62" s="1" customFormat="1" ht="12.75" customHeight="1">
      <c r="U157" s="19"/>
      <c r="V157" s="19"/>
      <c r="W157" s="19"/>
      <c r="X157" s="19"/>
      <c r="Y157" s="19"/>
      <c r="Z157" s="19"/>
      <c r="AA157" s="19"/>
      <c r="AB157" s="19"/>
      <c r="AC157" s="19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</row>
    <row r="158" spans="21:62" s="1" customFormat="1" ht="12.75" customHeight="1">
      <c r="U158" s="19"/>
      <c r="V158" s="19"/>
      <c r="W158" s="19"/>
      <c r="X158" s="19"/>
      <c r="Y158" s="19"/>
      <c r="Z158" s="19"/>
      <c r="AA158" s="19"/>
      <c r="AB158" s="19"/>
      <c r="AC158" s="19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</row>
    <row r="159" spans="21:62" s="1" customFormat="1" ht="12.75" customHeight="1">
      <c r="U159" s="19"/>
      <c r="V159" s="19"/>
      <c r="W159" s="19"/>
      <c r="X159" s="19"/>
      <c r="Y159" s="19"/>
      <c r="Z159" s="19"/>
      <c r="AA159" s="19"/>
      <c r="AB159" s="19"/>
      <c r="AC159" s="19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</row>
    <row r="160" spans="21:62" s="1" customFormat="1" ht="12.75" customHeight="1">
      <c r="U160" s="19"/>
      <c r="V160" s="19"/>
      <c r="W160" s="19"/>
      <c r="X160" s="19"/>
      <c r="Y160" s="19"/>
      <c r="Z160" s="19"/>
      <c r="AA160" s="19"/>
      <c r="AB160" s="19"/>
      <c r="AC160" s="19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</row>
    <row r="161" spans="21:62" s="1" customFormat="1" ht="12.75" customHeight="1">
      <c r="U161" s="19"/>
      <c r="V161" s="19"/>
      <c r="W161" s="19"/>
      <c r="X161" s="19"/>
      <c r="Y161" s="19"/>
      <c r="Z161" s="19"/>
      <c r="AA161" s="19"/>
      <c r="AB161" s="19"/>
      <c r="AC161" s="19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</row>
    <row r="162" spans="21:62" s="1" customFormat="1" ht="12.75" customHeight="1">
      <c r="U162" s="19"/>
      <c r="V162" s="19"/>
      <c r="W162" s="19"/>
      <c r="X162" s="19"/>
      <c r="Y162" s="19"/>
      <c r="Z162" s="19"/>
      <c r="AA162" s="19"/>
      <c r="AB162" s="19"/>
      <c r="AC162" s="19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</row>
    <row r="163" spans="21:62" s="1" customFormat="1" ht="12.75" customHeight="1">
      <c r="U163" s="19"/>
      <c r="V163" s="19"/>
      <c r="W163" s="19"/>
      <c r="X163" s="19"/>
      <c r="Y163" s="19"/>
      <c r="Z163" s="19"/>
      <c r="AA163" s="19"/>
      <c r="AB163" s="19"/>
      <c r="AC163" s="19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</row>
    <row r="164" spans="21:62" s="1" customFormat="1" ht="12.75" customHeight="1">
      <c r="U164" s="19"/>
      <c r="V164" s="19"/>
      <c r="W164" s="19"/>
      <c r="X164" s="19"/>
      <c r="Y164" s="19"/>
      <c r="Z164" s="19"/>
      <c r="AA164" s="19"/>
      <c r="AB164" s="19"/>
      <c r="AC164" s="19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</row>
    <row r="165" spans="21:62" s="1" customFormat="1" ht="12.75" customHeight="1">
      <c r="U165" s="19"/>
      <c r="V165" s="19"/>
      <c r="W165" s="19"/>
      <c r="X165" s="19"/>
      <c r="Y165" s="19"/>
      <c r="Z165" s="19"/>
      <c r="AA165" s="19"/>
      <c r="AB165" s="19"/>
      <c r="AC165" s="19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</row>
    <row r="166" spans="21:62" s="1" customFormat="1" ht="12.75" customHeight="1">
      <c r="U166" s="19"/>
      <c r="V166" s="19"/>
      <c r="W166" s="19"/>
      <c r="X166" s="19"/>
      <c r="Y166" s="19"/>
      <c r="Z166" s="19"/>
      <c r="AA166" s="19"/>
      <c r="AB166" s="19"/>
      <c r="AC166" s="19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</row>
    <row r="167" spans="21:62" s="1" customFormat="1" ht="12.75" customHeight="1">
      <c r="U167" s="19"/>
      <c r="V167" s="19"/>
      <c r="W167" s="19"/>
      <c r="X167" s="19"/>
      <c r="Y167" s="19"/>
      <c r="Z167" s="19"/>
      <c r="AA167" s="19"/>
      <c r="AB167" s="19"/>
      <c r="AC167" s="19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</row>
    <row r="168" spans="21:62" s="1" customFormat="1" ht="12.75" customHeight="1">
      <c r="U168" s="19"/>
      <c r="V168" s="19"/>
      <c r="W168" s="19"/>
      <c r="X168" s="19"/>
      <c r="Y168" s="19"/>
      <c r="Z168" s="19"/>
      <c r="AA168" s="19"/>
      <c r="AB168" s="19"/>
      <c r="AC168" s="19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</row>
    <row r="169" spans="21:62" s="1" customFormat="1" ht="12.75" customHeight="1">
      <c r="U169" s="19"/>
      <c r="V169" s="19"/>
      <c r="W169" s="19"/>
      <c r="X169" s="19"/>
      <c r="Y169" s="19"/>
      <c r="Z169" s="19"/>
      <c r="AA169" s="19"/>
      <c r="AB169" s="19"/>
      <c r="AC169" s="19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</row>
    <row r="170" spans="21:62" s="1" customFormat="1" ht="12.75" customHeight="1">
      <c r="U170" s="19"/>
      <c r="V170" s="19"/>
      <c r="W170" s="19"/>
      <c r="X170" s="19"/>
      <c r="Y170" s="19"/>
      <c r="Z170" s="19"/>
      <c r="AA170" s="19"/>
      <c r="AB170" s="19"/>
      <c r="AC170" s="19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</row>
    <row r="171" spans="21:62" s="1" customFormat="1" ht="12.75" customHeight="1">
      <c r="U171" s="19"/>
      <c r="V171" s="19"/>
      <c r="W171" s="19"/>
      <c r="X171" s="19"/>
      <c r="Y171" s="19"/>
      <c r="Z171" s="19"/>
      <c r="AA171" s="19"/>
      <c r="AB171" s="19"/>
      <c r="AC171" s="19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</row>
    <row r="172" spans="21:62" s="1" customFormat="1" ht="12.75" customHeight="1">
      <c r="U172" s="19"/>
      <c r="V172" s="19"/>
      <c r="W172" s="19"/>
      <c r="X172" s="19"/>
      <c r="Y172" s="19"/>
      <c r="Z172" s="19"/>
      <c r="AA172" s="19"/>
      <c r="AB172" s="19"/>
      <c r="AC172" s="19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</row>
    <row r="173" spans="21:62" s="1" customFormat="1" ht="12.75" customHeight="1">
      <c r="U173" s="19"/>
      <c r="V173" s="19"/>
      <c r="W173" s="19"/>
      <c r="X173" s="19"/>
      <c r="Y173" s="19"/>
      <c r="Z173" s="19"/>
      <c r="AA173" s="19"/>
      <c r="AB173" s="19"/>
      <c r="AC173" s="19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</row>
    <row r="174" spans="21:62" s="1" customFormat="1" ht="12.75" customHeight="1">
      <c r="U174" s="19"/>
      <c r="V174" s="19"/>
      <c r="W174" s="19"/>
      <c r="X174" s="19"/>
      <c r="Y174" s="19"/>
      <c r="Z174" s="19"/>
      <c r="AA174" s="19"/>
      <c r="AB174" s="19"/>
      <c r="AC174" s="19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</row>
    <row r="175" spans="21:62" s="1" customFormat="1" ht="12.75" customHeight="1">
      <c r="U175" s="19"/>
      <c r="V175" s="19"/>
      <c r="W175" s="19"/>
      <c r="X175" s="19"/>
      <c r="Y175" s="19"/>
      <c r="Z175" s="19"/>
      <c r="AA175" s="19"/>
      <c r="AB175" s="19"/>
      <c r="AC175" s="19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</row>
    <row r="176" spans="21:62" s="1" customFormat="1" ht="12.75" customHeight="1">
      <c r="U176" s="19"/>
      <c r="V176" s="19"/>
      <c r="W176" s="19"/>
      <c r="X176" s="19"/>
      <c r="Y176" s="19"/>
      <c r="Z176" s="19"/>
      <c r="AA176" s="19"/>
      <c r="AB176" s="19"/>
      <c r="AC176" s="19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</row>
    <row r="177" spans="21:62" s="1" customFormat="1" ht="12.75" customHeight="1">
      <c r="U177" s="19"/>
      <c r="V177" s="19"/>
      <c r="W177" s="19"/>
      <c r="X177" s="19"/>
      <c r="Y177" s="19"/>
      <c r="Z177" s="19"/>
      <c r="AA177" s="19"/>
      <c r="AB177" s="19"/>
      <c r="AC177" s="19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</row>
    <row r="178" spans="21:62" s="1" customFormat="1" ht="12.75" customHeight="1">
      <c r="U178" s="19"/>
      <c r="V178" s="19"/>
      <c r="W178" s="19"/>
      <c r="X178" s="19"/>
      <c r="Y178" s="19"/>
      <c r="Z178" s="19"/>
      <c r="AA178" s="19"/>
      <c r="AB178" s="19"/>
      <c r="AC178" s="19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</row>
    <row r="179" spans="21:62" s="1" customFormat="1" ht="12.75" customHeight="1">
      <c r="U179" s="19"/>
      <c r="V179" s="19"/>
      <c r="W179" s="19"/>
      <c r="X179" s="19"/>
      <c r="Y179" s="19"/>
      <c r="Z179" s="19"/>
      <c r="AA179" s="19"/>
      <c r="AB179" s="19"/>
      <c r="AC179" s="19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</row>
    <row r="180" spans="21:62" s="1" customFormat="1" ht="12.75" customHeight="1">
      <c r="U180" s="19"/>
      <c r="V180" s="19"/>
      <c r="W180" s="19"/>
      <c r="X180" s="19"/>
      <c r="Y180" s="19"/>
      <c r="Z180" s="19"/>
      <c r="AA180" s="19"/>
      <c r="AB180" s="19"/>
      <c r="AC180" s="19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</row>
    <row r="181" spans="21:62" s="1" customFormat="1" ht="12.75" customHeight="1">
      <c r="U181" s="19"/>
      <c r="V181" s="19"/>
      <c r="W181" s="19"/>
      <c r="X181" s="19"/>
      <c r="Y181" s="19"/>
      <c r="Z181" s="19"/>
      <c r="AA181" s="19"/>
      <c r="AB181" s="19"/>
      <c r="AC181" s="19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</row>
    <row r="182" spans="21:62" s="1" customFormat="1" ht="12.75" customHeight="1">
      <c r="U182" s="19"/>
      <c r="V182" s="19"/>
      <c r="W182" s="19"/>
      <c r="X182" s="19"/>
      <c r="Y182" s="19"/>
      <c r="Z182" s="19"/>
      <c r="AA182" s="19"/>
      <c r="AB182" s="19"/>
      <c r="AC182" s="19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</row>
    <row r="183" spans="21:62" s="1" customFormat="1" ht="12.75" customHeight="1">
      <c r="U183" s="19"/>
      <c r="V183" s="19"/>
      <c r="W183" s="19"/>
      <c r="X183" s="19"/>
      <c r="Y183" s="19"/>
      <c r="Z183" s="19"/>
      <c r="AA183" s="19"/>
      <c r="AB183" s="19"/>
      <c r="AC183" s="19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</row>
    <row r="184" spans="21:62" s="1" customFormat="1" ht="12.75" customHeight="1">
      <c r="U184" s="19"/>
      <c r="V184" s="19"/>
      <c r="W184" s="19"/>
      <c r="X184" s="19"/>
      <c r="Y184" s="19"/>
      <c r="Z184" s="19"/>
      <c r="AA184" s="19"/>
      <c r="AB184" s="19"/>
      <c r="AC184" s="19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</row>
    <row r="185" spans="21:62" s="1" customFormat="1" ht="12.75" customHeight="1">
      <c r="U185" s="19"/>
      <c r="V185" s="19"/>
      <c r="W185" s="19"/>
      <c r="X185" s="19"/>
      <c r="Y185" s="19"/>
      <c r="Z185" s="19"/>
      <c r="AA185" s="19"/>
      <c r="AB185" s="19"/>
      <c r="AC185" s="19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</row>
    <row r="186" spans="21:62" s="1" customFormat="1" ht="12.75" customHeight="1">
      <c r="U186" s="19"/>
      <c r="V186" s="19"/>
      <c r="W186" s="19"/>
      <c r="X186" s="19"/>
      <c r="Y186" s="19"/>
      <c r="Z186" s="19"/>
      <c r="AA186" s="19"/>
      <c r="AB186" s="19"/>
      <c r="AC186" s="19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</row>
    <row r="187" spans="21:62" s="1" customFormat="1" ht="12.75" customHeight="1">
      <c r="U187" s="19"/>
      <c r="V187" s="19"/>
      <c r="W187" s="19"/>
      <c r="X187" s="19"/>
      <c r="Y187" s="19"/>
      <c r="Z187" s="19"/>
      <c r="AA187" s="19"/>
      <c r="AB187" s="19"/>
      <c r="AC187" s="19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</row>
    <row r="188" spans="21:62" s="1" customFormat="1" ht="12.75" customHeight="1">
      <c r="U188" s="19"/>
      <c r="V188" s="19"/>
      <c r="W188" s="19"/>
      <c r="X188" s="19"/>
      <c r="Y188" s="19"/>
      <c r="Z188" s="19"/>
      <c r="AA188" s="19"/>
      <c r="AB188" s="19"/>
      <c r="AC188" s="19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</row>
    <row r="189" spans="21:62" s="1" customFormat="1" ht="12.75" customHeight="1">
      <c r="U189" s="19"/>
      <c r="V189" s="19"/>
      <c r="W189" s="19"/>
      <c r="X189" s="19"/>
      <c r="Y189" s="19"/>
      <c r="Z189" s="19"/>
      <c r="AA189" s="19"/>
      <c r="AB189" s="19"/>
      <c r="AC189" s="19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</row>
    <row r="190" spans="21:62" s="1" customFormat="1" ht="12.75" customHeight="1">
      <c r="U190" s="19"/>
      <c r="V190" s="19"/>
      <c r="W190" s="19"/>
      <c r="X190" s="19"/>
      <c r="Y190" s="19"/>
      <c r="Z190" s="19"/>
      <c r="AA190" s="19"/>
      <c r="AB190" s="19"/>
      <c r="AC190" s="19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</row>
    <row r="191" spans="21:62" s="1" customFormat="1" ht="12.75" customHeight="1">
      <c r="U191" s="19"/>
      <c r="V191" s="19"/>
      <c r="W191" s="19"/>
      <c r="X191" s="19"/>
      <c r="Y191" s="19"/>
      <c r="Z191" s="19"/>
      <c r="AA191" s="19"/>
      <c r="AB191" s="19"/>
      <c r="AC191" s="19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</row>
    <row r="192" spans="21:62" s="1" customFormat="1" ht="12.75" customHeight="1">
      <c r="U192" s="19"/>
      <c r="V192" s="19"/>
      <c r="W192" s="19"/>
      <c r="X192" s="19"/>
      <c r="Y192" s="19"/>
      <c r="Z192" s="19"/>
      <c r="AA192" s="19"/>
      <c r="AB192" s="19"/>
      <c r="AC192" s="19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</row>
    <row r="193" spans="21:62" s="1" customFormat="1" ht="12.75" customHeight="1">
      <c r="U193" s="19"/>
      <c r="V193" s="19"/>
      <c r="W193" s="19"/>
      <c r="X193" s="19"/>
      <c r="Y193" s="19"/>
      <c r="Z193" s="19"/>
      <c r="AA193" s="19"/>
      <c r="AB193" s="19"/>
      <c r="AC193" s="19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</row>
    <row r="194" spans="21:62" s="1" customFormat="1" ht="12.75" customHeight="1">
      <c r="U194" s="19"/>
      <c r="V194" s="19"/>
      <c r="W194" s="19"/>
      <c r="X194" s="19"/>
      <c r="Y194" s="19"/>
      <c r="Z194" s="19"/>
      <c r="AA194" s="19"/>
      <c r="AB194" s="19"/>
      <c r="AC194" s="19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</row>
    <row r="195" spans="21:62" s="1" customFormat="1" ht="12.75" customHeight="1">
      <c r="U195" s="19"/>
      <c r="V195" s="19"/>
      <c r="W195" s="19"/>
      <c r="X195" s="19"/>
      <c r="Y195" s="19"/>
      <c r="Z195" s="19"/>
      <c r="AA195" s="19"/>
      <c r="AB195" s="19"/>
      <c r="AC195" s="19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</row>
    <row r="196" spans="21:62" s="1" customFormat="1" ht="12.75" customHeight="1">
      <c r="U196" s="19"/>
      <c r="V196" s="19"/>
      <c r="W196" s="19"/>
      <c r="X196" s="19"/>
      <c r="Y196" s="19"/>
      <c r="Z196" s="19"/>
      <c r="AA196" s="19"/>
      <c r="AB196" s="19"/>
      <c r="AC196" s="19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</row>
    <row r="197" spans="21:62" s="1" customFormat="1" ht="12.75" customHeight="1">
      <c r="U197" s="19"/>
      <c r="V197" s="19"/>
      <c r="W197" s="19"/>
      <c r="X197" s="19"/>
      <c r="Y197" s="19"/>
      <c r="Z197" s="19"/>
      <c r="AA197" s="19"/>
      <c r="AB197" s="19"/>
      <c r="AC197" s="19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</row>
    <row r="198" spans="21:62" s="1" customFormat="1" ht="12.75" customHeight="1">
      <c r="U198" s="19"/>
      <c r="V198" s="19"/>
      <c r="W198" s="19"/>
      <c r="X198" s="19"/>
      <c r="Y198" s="19"/>
      <c r="Z198" s="19"/>
      <c r="AA198" s="19"/>
      <c r="AB198" s="19"/>
      <c r="AC198" s="19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</row>
    <row r="199" spans="21:62" s="1" customFormat="1" ht="12.75" customHeight="1">
      <c r="U199" s="19"/>
      <c r="V199" s="19"/>
      <c r="W199" s="19"/>
      <c r="X199" s="19"/>
      <c r="Y199" s="19"/>
      <c r="Z199" s="19"/>
      <c r="AA199" s="19"/>
      <c r="AB199" s="19"/>
      <c r="AC199" s="19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</row>
    <row r="200" spans="21:62" s="1" customFormat="1" ht="12.75" customHeight="1">
      <c r="U200" s="19"/>
      <c r="V200" s="19"/>
      <c r="W200" s="19"/>
      <c r="X200" s="19"/>
      <c r="Y200" s="19"/>
      <c r="Z200" s="19"/>
      <c r="AA200" s="19"/>
      <c r="AB200" s="19"/>
      <c r="AC200" s="19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</row>
    <row r="201" spans="21:62" s="1" customFormat="1" ht="12.75" customHeight="1">
      <c r="U201" s="19"/>
      <c r="V201" s="19"/>
      <c r="W201" s="19"/>
      <c r="X201" s="19"/>
      <c r="Y201" s="19"/>
      <c r="Z201" s="19"/>
      <c r="AA201" s="19"/>
      <c r="AB201" s="19"/>
      <c r="AC201" s="19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</row>
    <row r="202" spans="21:62" s="1" customFormat="1" ht="12.75" customHeight="1">
      <c r="U202" s="19"/>
      <c r="V202" s="19"/>
      <c r="W202" s="19"/>
      <c r="X202" s="19"/>
      <c r="Y202" s="19"/>
      <c r="Z202" s="19"/>
      <c r="AA202" s="19"/>
      <c r="AB202" s="19"/>
      <c r="AC202" s="19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</row>
    <row r="203" spans="21:62" s="1" customFormat="1" ht="12.75" customHeight="1">
      <c r="U203" s="19"/>
      <c r="V203" s="19"/>
      <c r="W203" s="19"/>
      <c r="X203" s="19"/>
      <c r="Y203" s="19"/>
      <c r="Z203" s="19"/>
      <c r="AA203" s="19"/>
      <c r="AB203" s="19"/>
      <c r="AC203" s="19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</row>
    <row r="204" spans="21:62" s="1" customFormat="1" ht="12.75" customHeight="1">
      <c r="U204" s="19"/>
      <c r="V204" s="19"/>
      <c r="W204" s="19"/>
      <c r="X204" s="19"/>
      <c r="Y204" s="19"/>
      <c r="Z204" s="19"/>
      <c r="AA204" s="19"/>
      <c r="AB204" s="19"/>
      <c r="AC204" s="19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</row>
    <row r="205" spans="21:62" s="1" customFormat="1" ht="12.75" customHeight="1">
      <c r="U205" s="19"/>
      <c r="V205" s="19"/>
      <c r="W205" s="19"/>
      <c r="X205" s="19"/>
      <c r="Y205" s="19"/>
      <c r="Z205" s="19"/>
      <c r="AA205" s="19"/>
      <c r="AB205" s="19"/>
      <c r="AC205" s="19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</row>
    <row r="206" spans="21:62" s="1" customFormat="1" ht="12.75" customHeight="1">
      <c r="U206" s="19"/>
      <c r="V206" s="19"/>
      <c r="W206" s="19"/>
      <c r="X206" s="19"/>
      <c r="Y206" s="19"/>
      <c r="Z206" s="19"/>
      <c r="AA206" s="19"/>
      <c r="AB206" s="19"/>
      <c r="AC206" s="19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</row>
    <row r="207" spans="21:62" s="1" customFormat="1" ht="12.75" customHeight="1">
      <c r="U207" s="19"/>
      <c r="V207" s="19"/>
      <c r="W207" s="19"/>
      <c r="X207" s="19"/>
      <c r="Y207" s="19"/>
      <c r="Z207" s="19"/>
      <c r="AA207" s="19"/>
      <c r="AB207" s="19"/>
      <c r="AC207" s="19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</row>
    <row r="208" spans="21:62" s="1" customFormat="1" ht="12.75" customHeight="1">
      <c r="U208" s="19"/>
      <c r="V208" s="19"/>
      <c r="W208" s="19"/>
      <c r="X208" s="19"/>
      <c r="Y208" s="19"/>
      <c r="Z208" s="19"/>
      <c r="AA208" s="19"/>
      <c r="AB208" s="19"/>
      <c r="AC208" s="19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</row>
    <row r="209" spans="21:62" s="1" customFormat="1" ht="12.75" customHeight="1">
      <c r="U209" s="19"/>
      <c r="V209" s="19"/>
      <c r="W209" s="19"/>
      <c r="X209" s="19"/>
      <c r="Y209" s="19"/>
      <c r="Z209" s="19"/>
      <c r="AA209" s="19"/>
      <c r="AB209" s="19"/>
      <c r="AC209" s="19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</row>
    <row r="210" spans="21:62" s="1" customFormat="1" ht="12.75" customHeight="1">
      <c r="U210" s="19"/>
      <c r="V210" s="19"/>
      <c r="W210" s="19"/>
      <c r="X210" s="19"/>
      <c r="Y210" s="19"/>
      <c r="Z210" s="19"/>
      <c r="AA210" s="19"/>
      <c r="AB210" s="19"/>
      <c r="AC210" s="19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</row>
    <row r="211" spans="21:62" s="1" customFormat="1" ht="12.75" customHeight="1">
      <c r="U211" s="19"/>
      <c r="V211" s="19"/>
      <c r="W211" s="19"/>
      <c r="X211" s="19"/>
      <c r="Y211" s="19"/>
      <c r="Z211" s="19"/>
      <c r="AA211" s="19"/>
      <c r="AB211" s="19"/>
      <c r="AC211" s="19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</row>
    <row r="212" spans="21:62" s="1" customFormat="1" ht="12.75" customHeight="1">
      <c r="U212" s="19"/>
      <c r="V212" s="19"/>
      <c r="W212" s="19"/>
      <c r="X212" s="19"/>
      <c r="Y212" s="19"/>
      <c r="Z212" s="19"/>
      <c r="AA212" s="19"/>
      <c r="AB212" s="19"/>
      <c r="AC212" s="19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</row>
    <row r="213" spans="21:62" s="1" customFormat="1" ht="12.75" customHeight="1">
      <c r="U213" s="19"/>
      <c r="V213" s="19"/>
      <c r="W213" s="19"/>
      <c r="X213" s="19"/>
      <c r="Y213" s="19"/>
      <c r="Z213" s="19"/>
      <c r="AA213" s="19"/>
      <c r="AB213" s="19"/>
      <c r="AC213" s="19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</row>
    <row r="214" spans="21:62" s="1" customFormat="1" ht="12.75" customHeight="1">
      <c r="U214" s="19"/>
      <c r="V214" s="19"/>
      <c r="W214" s="19"/>
      <c r="X214" s="19"/>
      <c r="Y214" s="19"/>
      <c r="Z214" s="19"/>
      <c r="AA214" s="19"/>
      <c r="AB214" s="19"/>
      <c r="AC214" s="19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</row>
    <row r="215" spans="21:62" s="1" customFormat="1" ht="12.75" customHeight="1">
      <c r="U215" s="19"/>
      <c r="V215" s="19"/>
      <c r="W215" s="19"/>
      <c r="X215" s="19"/>
      <c r="Y215" s="19"/>
      <c r="Z215" s="19"/>
      <c r="AA215" s="19"/>
      <c r="AB215" s="19"/>
      <c r="AC215" s="19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</row>
    <row r="216" spans="21:62" s="1" customFormat="1" ht="12.75" customHeight="1">
      <c r="U216" s="19"/>
      <c r="V216" s="19"/>
      <c r="W216" s="19"/>
      <c r="X216" s="19"/>
      <c r="Y216" s="19"/>
      <c r="Z216" s="19"/>
      <c r="AA216" s="19"/>
      <c r="AB216" s="19"/>
      <c r="AC216" s="19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</row>
    <row r="217" spans="21:62" s="1" customFormat="1" ht="12.75" customHeight="1">
      <c r="U217" s="19"/>
      <c r="V217" s="19"/>
      <c r="W217" s="19"/>
      <c r="X217" s="19"/>
      <c r="Y217" s="19"/>
      <c r="Z217" s="19"/>
      <c r="AA217" s="19"/>
      <c r="AB217" s="19"/>
      <c r="AC217" s="19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</row>
    <row r="218" spans="21:62" s="1" customFormat="1" ht="12.75" customHeight="1">
      <c r="U218" s="19"/>
      <c r="V218" s="19"/>
      <c r="W218" s="19"/>
      <c r="X218" s="19"/>
      <c r="Y218" s="19"/>
      <c r="Z218" s="19"/>
      <c r="AA218" s="19"/>
      <c r="AB218" s="19"/>
      <c r="AC218" s="19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</row>
    <row r="219" spans="21:62" s="1" customFormat="1" ht="12.75" customHeight="1">
      <c r="U219" s="19"/>
      <c r="V219" s="19"/>
      <c r="W219" s="19"/>
      <c r="X219" s="19"/>
      <c r="Y219" s="19"/>
      <c r="Z219" s="19"/>
      <c r="AA219" s="19"/>
      <c r="AB219" s="19"/>
      <c r="AC219" s="19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</row>
    <row r="220" spans="21:62" s="1" customFormat="1" ht="12.75" customHeight="1">
      <c r="U220" s="19"/>
      <c r="V220" s="19"/>
      <c r="W220" s="19"/>
      <c r="X220" s="19"/>
      <c r="Y220" s="19"/>
      <c r="Z220" s="19"/>
      <c r="AA220" s="19"/>
      <c r="AB220" s="19"/>
      <c r="AC220" s="19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</row>
    <row r="221" spans="21:62" s="1" customFormat="1" ht="12.75" customHeight="1">
      <c r="U221" s="19"/>
      <c r="V221" s="19"/>
      <c r="W221" s="19"/>
      <c r="X221" s="19"/>
      <c r="Y221" s="19"/>
      <c r="Z221" s="19"/>
      <c r="AA221" s="19"/>
      <c r="AB221" s="19"/>
      <c r="AC221" s="19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</row>
    <row r="222" spans="21:62" s="1" customFormat="1" ht="12.75" customHeight="1">
      <c r="U222" s="19"/>
      <c r="V222" s="19"/>
      <c r="W222" s="19"/>
      <c r="X222" s="19"/>
      <c r="Y222" s="19"/>
      <c r="Z222" s="19"/>
      <c r="AA222" s="19"/>
      <c r="AB222" s="19"/>
      <c r="AC222" s="19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</row>
    <row r="223" spans="21:62" s="1" customFormat="1" ht="12.75" customHeight="1">
      <c r="U223" s="19"/>
      <c r="V223" s="19"/>
      <c r="W223" s="19"/>
      <c r="X223" s="19"/>
      <c r="Y223" s="19"/>
      <c r="Z223" s="19"/>
      <c r="AA223" s="19"/>
      <c r="AB223" s="19"/>
      <c r="AC223" s="19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</row>
    <row r="224" spans="21:62" s="1" customFormat="1" ht="12.75" customHeight="1">
      <c r="U224" s="19"/>
      <c r="V224" s="19"/>
      <c r="W224" s="19"/>
      <c r="X224" s="19"/>
      <c r="Y224" s="19"/>
      <c r="Z224" s="19"/>
      <c r="AA224" s="19"/>
      <c r="AB224" s="19"/>
      <c r="AC224" s="19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</row>
    <row r="225" spans="21:62" s="1" customFormat="1" ht="12.75" customHeight="1">
      <c r="U225" s="19"/>
      <c r="V225" s="19"/>
      <c r="W225" s="19"/>
      <c r="X225" s="19"/>
      <c r="Y225" s="19"/>
      <c r="Z225" s="19"/>
      <c r="AA225" s="19"/>
      <c r="AB225" s="19"/>
      <c r="AC225" s="19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</row>
    <row r="226" spans="21:62" s="1" customFormat="1" ht="12.75" customHeight="1">
      <c r="U226" s="19"/>
      <c r="V226" s="19"/>
      <c r="W226" s="19"/>
      <c r="X226" s="19"/>
      <c r="Y226" s="19"/>
      <c r="Z226" s="19"/>
      <c r="AA226" s="19"/>
      <c r="AB226" s="19"/>
      <c r="AC226" s="19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</row>
    <row r="227" spans="21:62" s="1" customFormat="1" ht="12.75" customHeight="1">
      <c r="U227" s="19"/>
      <c r="V227" s="19"/>
      <c r="W227" s="19"/>
      <c r="X227" s="19"/>
      <c r="Y227" s="19"/>
      <c r="Z227" s="19"/>
      <c r="AA227" s="19"/>
      <c r="AB227" s="19"/>
      <c r="AC227" s="19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</row>
    <row r="228" spans="21:62" s="1" customFormat="1" ht="12.75" customHeight="1">
      <c r="U228" s="19"/>
      <c r="V228" s="19"/>
      <c r="W228" s="19"/>
      <c r="X228" s="19"/>
      <c r="Y228" s="19"/>
      <c r="Z228" s="19"/>
      <c r="AA228" s="19"/>
      <c r="AB228" s="19"/>
      <c r="AC228" s="19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</row>
    <row r="229" spans="21:62" s="1" customFormat="1" ht="12.75" customHeight="1">
      <c r="U229" s="19"/>
      <c r="V229" s="19"/>
      <c r="W229" s="19"/>
      <c r="X229" s="19"/>
      <c r="Y229" s="19"/>
      <c r="Z229" s="19"/>
      <c r="AA229" s="19"/>
      <c r="AB229" s="19"/>
      <c r="AC229" s="19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</row>
    <row r="230" spans="21:62" s="1" customFormat="1" ht="12.75" customHeight="1">
      <c r="U230" s="19"/>
      <c r="V230" s="19"/>
      <c r="W230" s="19"/>
      <c r="X230" s="19"/>
      <c r="Y230" s="19"/>
      <c r="Z230" s="19"/>
      <c r="AA230" s="19"/>
      <c r="AB230" s="19"/>
      <c r="AC230" s="19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</row>
    <row r="231" spans="21:62" s="1" customFormat="1" ht="12.75" customHeight="1">
      <c r="U231" s="19"/>
      <c r="V231" s="19"/>
      <c r="W231" s="19"/>
      <c r="X231" s="19"/>
      <c r="Y231" s="19"/>
      <c r="Z231" s="19"/>
      <c r="AA231" s="19"/>
      <c r="AB231" s="19"/>
      <c r="AC231" s="19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</row>
    <row r="232" spans="21:62" s="1" customFormat="1" ht="12.75" customHeight="1">
      <c r="U232" s="19"/>
      <c r="V232" s="19"/>
      <c r="W232" s="19"/>
      <c r="X232" s="19"/>
      <c r="Y232" s="19"/>
      <c r="Z232" s="19"/>
      <c r="AA232" s="19"/>
      <c r="AB232" s="19"/>
      <c r="AC232" s="19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</row>
    <row r="233" spans="21:62" s="1" customFormat="1" ht="12.75" customHeight="1">
      <c r="U233" s="19"/>
      <c r="V233" s="19"/>
      <c r="W233" s="19"/>
      <c r="X233" s="19"/>
      <c r="Y233" s="19"/>
      <c r="Z233" s="19"/>
      <c r="AA233" s="19"/>
      <c r="AB233" s="19"/>
      <c r="AC233" s="19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</row>
    <row r="234" spans="21:62" s="1" customFormat="1" ht="12.75" customHeight="1">
      <c r="U234" s="19"/>
      <c r="V234" s="19"/>
      <c r="W234" s="19"/>
      <c r="X234" s="19"/>
      <c r="Y234" s="19"/>
      <c r="Z234" s="19"/>
      <c r="AA234" s="19"/>
      <c r="AB234" s="19"/>
      <c r="AC234" s="19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</row>
    <row r="235" spans="21:62" s="1" customFormat="1" ht="12.75" customHeight="1">
      <c r="U235" s="19"/>
      <c r="V235" s="19"/>
      <c r="W235" s="19"/>
      <c r="X235" s="19"/>
      <c r="Y235" s="19"/>
      <c r="Z235" s="19"/>
      <c r="AA235" s="19"/>
      <c r="AB235" s="19"/>
      <c r="AC235" s="19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</row>
    <row r="236" spans="21:62" s="1" customFormat="1" ht="12.75" customHeight="1">
      <c r="U236" s="19"/>
      <c r="V236" s="19"/>
      <c r="W236" s="19"/>
      <c r="X236" s="19"/>
      <c r="Y236" s="19"/>
      <c r="Z236" s="19"/>
      <c r="AA236" s="19"/>
      <c r="AB236" s="19"/>
      <c r="AC236" s="19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</row>
    <row r="237" spans="21:62" s="1" customFormat="1" ht="12.75" customHeight="1">
      <c r="U237" s="19"/>
      <c r="V237" s="19"/>
      <c r="W237" s="19"/>
      <c r="X237" s="19"/>
      <c r="Y237" s="19"/>
      <c r="Z237" s="19"/>
      <c r="AA237" s="19"/>
      <c r="AB237" s="19"/>
      <c r="AC237" s="19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</row>
    <row r="238" spans="21:62" s="1" customFormat="1" ht="12.75" customHeight="1">
      <c r="U238" s="19"/>
      <c r="V238" s="19"/>
      <c r="W238" s="19"/>
      <c r="X238" s="19"/>
      <c r="Y238" s="19"/>
      <c r="Z238" s="19"/>
      <c r="AA238" s="19"/>
      <c r="AB238" s="19"/>
      <c r="AC238" s="19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</row>
    <row r="239" spans="21:62" s="1" customFormat="1" ht="12.75" customHeight="1">
      <c r="U239" s="19"/>
      <c r="V239" s="19"/>
      <c r="W239" s="19"/>
      <c r="X239" s="19"/>
      <c r="Y239" s="19"/>
      <c r="Z239" s="19"/>
      <c r="AA239" s="19"/>
      <c r="AB239" s="19"/>
      <c r="AC239" s="19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</row>
    <row r="240" spans="21:62" s="1" customFormat="1" ht="12.75" customHeight="1">
      <c r="U240" s="19"/>
      <c r="V240" s="19"/>
      <c r="W240" s="19"/>
      <c r="X240" s="19"/>
      <c r="Y240" s="19"/>
      <c r="Z240" s="19"/>
      <c r="AA240" s="19"/>
      <c r="AB240" s="19"/>
      <c r="AC240" s="19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</row>
    <row r="241" spans="21:62" s="1" customFormat="1" ht="12.75" customHeight="1">
      <c r="U241" s="19"/>
      <c r="V241" s="19"/>
      <c r="W241" s="19"/>
      <c r="X241" s="19"/>
      <c r="Y241" s="19"/>
      <c r="Z241" s="19"/>
      <c r="AA241" s="19"/>
      <c r="AB241" s="19"/>
      <c r="AC241" s="19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</row>
    <row r="242" spans="21:62" s="1" customFormat="1" ht="12.75" customHeight="1">
      <c r="U242" s="19"/>
      <c r="V242" s="19"/>
      <c r="W242" s="19"/>
      <c r="X242" s="19"/>
      <c r="Y242" s="19"/>
      <c r="Z242" s="19"/>
      <c r="AA242" s="19"/>
      <c r="AB242" s="19"/>
      <c r="AC242" s="19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</row>
    <row r="243" spans="21:62" s="1" customFormat="1" ht="12.75" customHeight="1">
      <c r="U243" s="19"/>
      <c r="V243" s="19"/>
      <c r="W243" s="19"/>
      <c r="X243" s="19"/>
      <c r="Y243" s="19"/>
      <c r="Z243" s="19"/>
      <c r="AA243" s="19"/>
      <c r="AB243" s="19"/>
      <c r="AC243" s="19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</row>
    <row r="244" spans="21:62" s="1" customFormat="1" ht="12.75" customHeight="1">
      <c r="U244" s="19"/>
      <c r="V244" s="19"/>
      <c r="W244" s="19"/>
      <c r="X244" s="19"/>
      <c r="Y244" s="19"/>
      <c r="Z244" s="19"/>
      <c r="AA244" s="19"/>
      <c r="AB244" s="19"/>
      <c r="AC244" s="19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</row>
    <row r="245" spans="21:62" s="1" customFormat="1" ht="12.75" customHeight="1">
      <c r="U245" s="19"/>
      <c r="V245" s="19"/>
      <c r="W245" s="19"/>
      <c r="X245" s="19"/>
      <c r="Y245" s="19"/>
      <c r="Z245" s="19"/>
      <c r="AA245" s="19"/>
      <c r="AB245" s="19"/>
      <c r="AC245" s="19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</row>
    <row r="246" spans="21:62" s="1" customFormat="1" ht="12.75" customHeight="1">
      <c r="U246" s="19"/>
      <c r="V246" s="19"/>
      <c r="W246" s="19"/>
      <c r="X246" s="19"/>
      <c r="Y246" s="19"/>
      <c r="Z246" s="19"/>
      <c r="AA246" s="19"/>
      <c r="AB246" s="19"/>
      <c r="AC246" s="19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</row>
    <row r="247" spans="21:62" s="1" customFormat="1" ht="12.75" customHeight="1">
      <c r="U247" s="19"/>
      <c r="V247" s="19"/>
      <c r="W247" s="19"/>
      <c r="X247" s="19"/>
      <c r="Y247" s="19"/>
      <c r="Z247" s="19"/>
      <c r="AA247" s="19"/>
      <c r="AB247" s="19"/>
      <c r="AC247" s="19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</row>
    <row r="248" spans="21:62" s="1" customFormat="1" ht="12.75" customHeight="1">
      <c r="U248" s="19"/>
      <c r="V248" s="19"/>
      <c r="W248" s="19"/>
      <c r="X248" s="19"/>
      <c r="Y248" s="19"/>
      <c r="Z248" s="19"/>
      <c r="AA248" s="19"/>
      <c r="AB248" s="19"/>
      <c r="AC248" s="19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</row>
    <row r="249" spans="21:62" s="1" customFormat="1" ht="12.75" customHeight="1">
      <c r="U249" s="19"/>
      <c r="V249" s="19"/>
      <c r="W249" s="19"/>
      <c r="X249" s="19"/>
      <c r="Y249" s="19"/>
      <c r="Z249" s="19"/>
      <c r="AA249" s="19"/>
      <c r="AB249" s="19"/>
      <c r="AC249" s="19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</row>
    <row r="250" spans="21:62" s="1" customFormat="1" ht="12.75" customHeight="1">
      <c r="U250" s="19"/>
      <c r="V250" s="19"/>
      <c r="W250" s="19"/>
      <c r="X250" s="19"/>
      <c r="Y250" s="19"/>
      <c r="Z250" s="19"/>
      <c r="AA250" s="19"/>
      <c r="AB250" s="19"/>
      <c r="AC250" s="19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</row>
    <row r="251" spans="21:62" s="1" customFormat="1" ht="12.75" customHeight="1">
      <c r="U251" s="19"/>
      <c r="V251" s="19"/>
      <c r="W251" s="19"/>
      <c r="X251" s="19"/>
      <c r="Y251" s="19"/>
      <c r="Z251" s="19"/>
      <c r="AA251" s="19"/>
      <c r="AB251" s="19"/>
      <c r="AC251" s="19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</row>
    <row r="252" spans="21:62" s="1" customFormat="1" ht="12.75" customHeight="1">
      <c r="U252" s="19"/>
      <c r="V252" s="19"/>
      <c r="W252" s="19"/>
      <c r="X252" s="19"/>
      <c r="Y252" s="19"/>
      <c r="Z252" s="19"/>
      <c r="AA252" s="19"/>
      <c r="AB252" s="19"/>
      <c r="AC252" s="19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</row>
    <row r="253" spans="21:62" s="1" customFormat="1" ht="12.75" customHeight="1">
      <c r="U253" s="19"/>
      <c r="V253" s="19"/>
      <c r="W253" s="19"/>
      <c r="X253" s="19"/>
      <c r="Y253" s="19"/>
      <c r="Z253" s="19"/>
      <c r="AA253" s="19"/>
      <c r="AB253" s="19"/>
      <c r="AC253" s="19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</row>
    <row r="254" spans="21:62" s="1" customFormat="1" ht="12.75" customHeight="1">
      <c r="U254" s="19"/>
      <c r="V254" s="19"/>
      <c r="W254" s="19"/>
      <c r="X254" s="19"/>
      <c r="Y254" s="19"/>
      <c r="Z254" s="19"/>
      <c r="AA254" s="19"/>
      <c r="AB254" s="19"/>
      <c r="AC254" s="19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</row>
    <row r="255" spans="21:62" s="1" customFormat="1" ht="12.75" customHeight="1">
      <c r="U255" s="19"/>
      <c r="V255" s="19"/>
      <c r="W255" s="19"/>
      <c r="X255" s="19"/>
      <c r="Y255" s="19"/>
      <c r="Z255" s="19"/>
      <c r="AA255" s="19"/>
      <c r="AB255" s="19"/>
      <c r="AC255" s="19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</row>
    <row r="256" spans="21:62" s="1" customFormat="1" ht="12.75" customHeight="1">
      <c r="U256" s="19"/>
      <c r="V256" s="19"/>
      <c r="W256" s="19"/>
      <c r="X256" s="19"/>
      <c r="Y256" s="19"/>
      <c r="Z256" s="19"/>
      <c r="AA256" s="19"/>
      <c r="AB256" s="19"/>
      <c r="AC256" s="19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</row>
    <row r="257" spans="21:62" s="1" customFormat="1" ht="12.75" customHeight="1">
      <c r="U257" s="19"/>
      <c r="V257" s="19"/>
      <c r="W257" s="19"/>
      <c r="X257" s="19"/>
      <c r="Y257" s="19"/>
      <c r="Z257" s="19"/>
      <c r="AA257" s="19"/>
      <c r="AB257" s="19"/>
      <c r="AC257" s="19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</row>
    <row r="258" spans="21:62" s="1" customFormat="1" ht="12.75" customHeight="1">
      <c r="U258" s="19"/>
      <c r="V258" s="19"/>
      <c r="W258" s="19"/>
      <c r="X258" s="19"/>
      <c r="Y258" s="19"/>
      <c r="Z258" s="19"/>
      <c r="AA258" s="19"/>
      <c r="AB258" s="19"/>
      <c r="AC258" s="19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</row>
    <row r="259" spans="21:62" s="1" customFormat="1" ht="12.75" customHeight="1">
      <c r="U259" s="19"/>
      <c r="V259" s="19"/>
      <c r="W259" s="19"/>
      <c r="X259" s="19"/>
      <c r="Y259" s="19"/>
      <c r="Z259" s="19"/>
      <c r="AA259" s="19"/>
      <c r="AB259" s="19"/>
      <c r="AC259" s="19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</row>
    <row r="260" spans="21:62" s="1" customFormat="1" ht="12.75" customHeight="1">
      <c r="U260" s="19"/>
      <c r="V260" s="19"/>
      <c r="W260" s="19"/>
      <c r="X260" s="19"/>
      <c r="Y260" s="19"/>
      <c r="Z260" s="19"/>
      <c r="AA260" s="19"/>
      <c r="AB260" s="19"/>
      <c r="AC260" s="19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</row>
    <row r="261" spans="21:62" s="1" customFormat="1" ht="12.75" customHeight="1">
      <c r="U261" s="19"/>
      <c r="V261" s="19"/>
      <c r="W261" s="19"/>
      <c r="X261" s="19"/>
      <c r="Y261" s="19"/>
      <c r="Z261" s="19"/>
      <c r="AA261" s="19"/>
      <c r="AB261" s="19"/>
      <c r="AC261" s="19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</row>
    <row r="262" spans="21:62" s="1" customFormat="1" ht="12.75" customHeight="1">
      <c r="U262" s="19"/>
      <c r="V262" s="19"/>
      <c r="W262" s="19"/>
      <c r="X262" s="19"/>
      <c r="Y262" s="19"/>
      <c r="Z262" s="19"/>
      <c r="AA262" s="19"/>
      <c r="AB262" s="19"/>
      <c r="AC262" s="19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</row>
    <row r="263" spans="21:62" s="1" customFormat="1" ht="12.75" customHeight="1">
      <c r="U263" s="19"/>
      <c r="V263" s="19"/>
      <c r="W263" s="19"/>
      <c r="X263" s="19"/>
      <c r="Y263" s="19"/>
      <c r="Z263" s="19"/>
      <c r="AA263" s="19"/>
      <c r="AB263" s="19"/>
      <c r="AC263" s="19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</row>
    <row r="264" spans="21:62" s="1" customFormat="1" ht="12.75" customHeight="1">
      <c r="U264" s="19"/>
      <c r="V264" s="19"/>
      <c r="W264" s="19"/>
      <c r="X264" s="19"/>
      <c r="Y264" s="19"/>
      <c r="Z264" s="19"/>
      <c r="AA264" s="19"/>
      <c r="AB264" s="19"/>
      <c r="AC264" s="19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</row>
    <row r="265" spans="21:62" s="1" customFormat="1" ht="12.75" customHeight="1">
      <c r="U265" s="19"/>
      <c r="V265" s="19"/>
      <c r="W265" s="19"/>
      <c r="X265" s="19"/>
      <c r="Y265" s="19"/>
      <c r="Z265" s="19"/>
      <c r="AA265" s="19"/>
      <c r="AB265" s="19"/>
      <c r="AC265" s="19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</row>
    <row r="266" spans="21:62" s="1" customFormat="1" ht="12.75" customHeight="1">
      <c r="U266" s="19"/>
      <c r="V266" s="19"/>
      <c r="W266" s="19"/>
      <c r="X266" s="19"/>
      <c r="Y266" s="19"/>
      <c r="Z266" s="19"/>
      <c r="AA266" s="19"/>
      <c r="AB266" s="19"/>
      <c r="AC266" s="19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</row>
    <row r="267" spans="21:62" s="1" customFormat="1" ht="12.75" customHeight="1">
      <c r="U267" s="19"/>
      <c r="V267" s="19"/>
      <c r="W267" s="19"/>
      <c r="X267" s="19"/>
      <c r="Y267" s="19"/>
      <c r="Z267" s="19"/>
      <c r="AA267" s="19"/>
      <c r="AB267" s="19"/>
      <c r="AC267" s="19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</row>
    <row r="268" spans="21:62" s="1" customFormat="1" ht="12.75" customHeight="1">
      <c r="U268" s="19"/>
      <c r="V268" s="19"/>
      <c r="W268" s="19"/>
      <c r="X268" s="19"/>
      <c r="Y268" s="19"/>
      <c r="Z268" s="19"/>
      <c r="AA268" s="19"/>
      <c r="AB268" s="19"/>
      <c r="AC268" s="19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</row>
    <row r="269" spans="21:62" s="1" customFormat="1" ht="12.75" customHeight="1">
      <c r="U269" s="19"/>
      <c r="V269" s="19"/>
      <c r="W269" s="19"/>
      <c r="X269" s="19"/>
      <c r="Y269" s="19"/>
      <c r="Z269" s="19"/>
      <c r="AA269" s="19"/>
      <c r="AB269" s="19"/>
      <c r="AC269" s="19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</row>
    <row r="270" spans="21:62" s="1" customFormat="1" ht="12.75" customHeight="1">
      <c r="U270" s="19"/>
      <c r="V270" s="19"/>
      <c r="W270" s="19"/>
      <c r="X270" s="19"/>
      <c r="Y270" s="19"/>
      <c r="Z270" s="19"/>
      <c r="AA270" s="19"/>
      <c r="AB270" s="19"/>
      <c r="AC270" s="19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</row>
    <row r="271" spans="21:62" s="1" customFormat="1" ht="12.75" customHeight="1">
      <c r="U271" s="19"/>
      <c r="V271" s="19"/>
      <c r="W271" s="19"/>
      <c r="X271" s="19"/>
      <c r="Y271" s="19"/>
      <c r="Z271" s="19"/>
      <c r="AA271" s="19"/>
      <c r="AB271" s="19"/>
      <c r="AC271" s="19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</row>
    <row r="272" spans="21:62" s="1" customFormat="1" ht="12.75" customHeight="1">
      <c r="U272" s="19"/>
      <c r="V272" s="19"/>
      <c r="W272" s="19"/>
      <c r="X272" s="19"/>
      <c r="Y272" s="19"/>
      <c r="Z272" s="19"/>
      <c r="AA272" s="19"/>
      <c r="AB272" s="19"/>
      <c r="AC272" s="19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</row>
    <row r="273" spans="21:62" s="1" customFormat="1" ht="12.75" customHeight="1">
      <c r="U273" s="19"/>
      <c r="V273" s="19"/>
      <c r="W273" s="19"/>
      <c r="X273" s="19"/>
      <c r="Y273" s="19"/>
      <c r="Z273" s="19"/>
      <c r="AA273" s="19"/>
      <c r="AB273" s="19"/>
      <c r="AC273" s="19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</row>
    <row r="274" spans="21:62" s="1" customFormat="1" ht="12.75" customHeight="1">
      <c r="U274" s="19"/>
      <c r="V274" s="19"/>
      <c r="W274" s="19"/>
      <c r="X274" s="19"/>
      <c r="Y274" s="19"/>
      <c r="Z274" s="19"/>
      <c r="AA274" s="19"/>
      <c r="AB274" s="19"/>
      <c r="AC274" s="19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</row>
    <row r="275" spans="21:62" s="1" customFormat="1" ht="12.75" customHeight="1">
      <c r="U275" s="19"/>
      <c r="V275" s="19"/>
      <c r="W275" s="19"/>
      <c r="X275" s="19"/>
      <c r="Y275" s="19"/>
      <c r="Z275" s="19"/>
      <c r="AA275" s="19"/>
      <c r="AB275" s="19"/>
      <c r="AC275" s="19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</row>
    <row r="276" spans="21:62" s="1" customFormat="1" ht="12.75" customHeight="1">
      <c r="U276" s="19"/>
      <c r="V276" s="19"/>
      <c r="W276" s="19"/>
      <c r="X276" s="19"/>
      <c r="Y276" s="19"/>
      <c r="Z276" s="19"/>
      <c r="AA276" s="19"/>
      <c r="AB276" s="19"/>
      <c r="AC276" s="19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</row>
    <row r="277" spans="21:62" s="1" customFormat="1" ht="12.75" customHeight="1">
      <c r="U277" s="19"/>
      <c r="V277" s="19"/>
      <c r="W277" s="19"/>
      <c r="X277" s="19"/>
      <c r="Y277" s="19"/>
      <c r="Z277" s="19"/>
      <c r="AA277" s="19"/>
      <c r="AB277" s="19"/>
      <c r="AC277" s="19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</row>
    <row r="278" spans="21:62" s="1" customFormat="1" ht="12.75" customHeight="1">
      <c r="U278" s="19"/>
      <c r="V278" s="19"/>
      <c r="W278" s="19"/>
      <c r="X278" s="19"/>
      <c r="Y278" s="19"/>
      <c r="Z278" s="19"/>
      <c r="AA278" s="19"/>
      <c r="AB278" s="19"/>
      <c r="AC278" s="19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</row>
    <row r="279" spans="21:62" s="1" customFormat="1" ht="12.75" customHeight="1">
      <c r="U279" s="19"/>
      <c r="V279" s="19"/>
      <c r="W279" s="19"/>
      <c r="X279" s="19"/>
      <c r="Y279" s="19"/>
      <c r="Z279" s="19"/>
      <c r="AA279" s="19"/>
      <c r="AB279" s="19"/>
      <c r="AC279" s="19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</row>
    <row r="280" spans="21:62" s="1" customFormat="1" ht="12.75" customHeight="1">
      <c r="U280" s="19"/>
      <c r="V280" s="19"/>
      <c r="W280" s="19"/>
      <c r="X280" s="19"/>
      <c r="Y280" s="19"/>
      <c r="Z280" s="19"/>
      <c r="AA280" s="19"/>
      <c r="AB280" s="19"/>
      <c r="AC280" s="19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</row>
    <row r="281" spans="21:62" s="1" customFormat="1" ht="12.75" customHeight="1">
      <c r="U281" s="19"/>
      <c r="V281" s="19"/>
      <c r="W281" s="19"/>
      <c r="X281" s="19"/>
      <c r="Y281" s="19"/>
      <c r="Z281" s="19"/>
      <c r="AA281" s="19"/>
      <c r="AB281" s="19"/>
      <c r="AC281" s="19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</row>
    <row r="282" spans="21:62" s="1" customFormat="1" ht="12.75" customHeight="1">
      <c r="U282" s="19"/>
      <c r="V282" s="19"/>
      <c r="W282" s="19"/>
      <c r="X282" s="19"/>
      <c r="Y282" s="19"/>
      <c r="Z282" s="19"/>
      <c r="AA282" s="19"/>
      <c r="AB282" s="19"/>
      <c r="AC282" s="19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</row>
    <row r="283" spans="21:62" s="1" customFormat="1" ht="12.75" customHeight="1">
      <c r="U283" s="19"/>
      <c r="V283" s="19"/>
      <c r="W283" s="19"/>
      <c r="X283" s="19"/>
      <c r="Y283" s="19"/>
      <c r="Z283" s="19"/>
      <c r="AA283" s="19"/>
      <c r="AB283" s="19"/>
      <c r="AC283" s="19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</row>
    <row r="284" spans="21:62" s="1" customFormat="1" ht="12.75" customHeight="1">
      <c r="U284" s="19"/>
      <c r="V284" s="19"/>
      <c r="W284" s="19"/>
      <c r="X284" s="19"/>
      <c r="Y284" s="19"/>
      <c r="Z284" s="19"/>
      <c r="AA284" s="19"/>
      <c r="AB284" s="19"/>
      <c r="AC284" s="19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</row>
    <row r="285" spans="21:62" s="1" customFormat="1" ht="12.75" customHeight="1">
      <c r="U285" s="19"/>
      <c r="V285" s="19"/>
      <c r="W285" s="19"/>
      <c r="X285" s="19"/>
      <c r="Y285" s="19"/>
      <c r="Z285" s="19"/>
      <c r="AA285" s="19"/>
      <c r="AB285" s="19"/>
      <c r="AC285" s="19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</row>
    <row r="286" spans="21:62" s="1" customFormat="1" ht="12.75" customHeight="1">
      <c r="U286" s="19"/>
      <c r="V286" s="19"/>
      <c r="W286" s="19"/>
      <c r="X286" s="19"/>
      <c r="Y286" s="19"/>
      <c r="Z286" s="19"/>
      <c r="AA286" s="19"/>
      <c r="AB286" s="19"/>
      <c r="AC286" s="19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</row>
    <row r="287" spans="21:62" s="1" customFormat="1" ht="12.75" customHeight="1">
      <c r="U287" s="19"/>
      <c r="V287" s="19"/>
      <c r="W287" s="19"/>
      <c r="X287" s="19"/>
      <c r="Y287" s="19"/>
      <c r="Z287" s="19"/>
      <c r="AA287" s="19"/>
      <c r="AB287" s="19"/>
      <c r="AC287" s="19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</row>
    <row r="288" spans="21:62" s="1" customFormat="1" ht="12.75" customHeight="1">
      <c r="U288" s="19"/>
      <c r="V288" s="19"/>
      <c r="W288" s="19"/>
      <c r="X288" s="19"/>
      <c r="Y288" s="19"/>
      <c r="Z288" s="19"/>
      <c r="AA288" s="19"/>
      <c r="AB288" s="19"/>
      <c r="AC288" s="19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</row>
    <row r="289" spans="21:62" s="1" customFormat="1" ht="12.75" customHeight="1">
      <c r="U289" s="19"/>
      <c r="V289" s="19"/>
      <c r="W289" s="19"/>
      <c r="X289" s="19"/>
      <c r="Y289" s="19"/>
      <c r="Z289" s="19"/>
      <c r="AA289" s="19"/>
      <c r="AB289" s="19"/>
      <c r="AC289" s="19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</row>
    <row r="290" spans="21:62" s="1" customFormat="1" ht="12.75" customHeight="1">
      <c r="U290" s="19"/>
      <c r="V290" s="19"/>
      <c r="W290" s="19"/>
      <c r="X290" s="19"/>
      <c r="Y290" s="19"/>
      <c r="Z290" s="19"/>
      <c r="AA290" s="19"/>
      <c r="AB290" s="19"/>
      <c r="AC290" s="19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</row>
    <row r="291" spans="21:62" s="1" customFormat="1" ht="12.75" customHeight="1">
      <c r="U291" s="19"/>
      <c r="V291" s="19"/>
      <c r="W291" s="19"/>
      <c r="X291" s="19"/>
      <c r="Y291" s="19"/>
      <c r="Z291" s="19"/>
      <c r="AA291" s="19"/>
      <c r="AB291" s="19"/>
      <c r="AC291" s="19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</row>
    <row r="292" spans="21:62" s="1" customFormat="1" ht="12.75" customHeight="1">
      <c r="U292" s="19"/>
      <c r="V292" s="19"/>
      <c r="W292" s="19"/>
      <c r="X292" s="19"/>
      <c r="Y292" s="19"/>
      <c r="Z292" s="19"/>
      <c r="AA292" s="19"/>
      <c r="AB292" s="19"/>
      <c r="AC292" s="19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</row>
    <row r="293" spans="21:62" s="1" customFormat="1" ht="12.75" customHeight="1">
      <c r="U293" s="19"/>
      <c r="V293" s="19"/>
      <c r="W293" s="19"/>
      <c r="X293" s="19"/>
      <c r="Y293" s="19"/>
      <c r="Z293" s="19"/>
      <c r="AA293" s="19"/>
      <c r="AB293" s="19"/>
      <c r="AC293" s="19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</row>
    <row r="294" spans="21:62" s="1" customFormat="1" ht="12.75" customHeight="1">
      <c r="U294" s="19"/>
      <c r="V294" s="19"/>
      <c r="W294" s="19"/>
      <c r="X294" s="19"/>
      <c r="Y294" s="19"/>
      <c r="Z294" s="19"/>
      <c r="AA294" s="19"/>
      <c r="AB294" s="19"/>
      <c r="AC294" s="19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</row>
    <row r="295" spans="21:62" s="1" customFormat="1" ht="12.75" customHeight="1">
      <c r="U295" s="19"/>
      <c r="V295" s="19"/>
      <c r="W295" s="19"/>
      <c r="X295" s="19"/>
      <c r="Y295" s="19"/>
      <c r="Z295" s="19"/>
      <c r="AA295" s="19"/>
      <c r="AB295" s="19"/>
      <c r="AC295" s="19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</row>
    <row r="296" spans="21:62" s="1" customFormat="1" ht="12.75" customHeight="1">
      <c r="U296" s="19"/>
      <c r="V296" s="19"/>
      <c r="W296" s="19"/>
      <c r="X296" s="19"/>
      <c r="Y296" s="19"/>
      <c r="Z296" s="19"/>
      <c r="AA296" s="19"/>
      <c r="AB296" s="19"/>
      <c r="AC296" s="19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</row>
    <row r="297" spans="21:62" s="1" customFormat="1" ht="12.75" customHeight="1">
      <c r="U297" s="19"/>
      <c r="V297" s="19"/>
      <c r="W297" s="19"/>
      <c r="X297" s="19"/>
      <c r="Y297" s="19"/>
      <c r="Z297" s="19"/>
      <c r="AA297" s="19"/>
      <c r="AB297" s="19"/>
      <c r="AC297" s="19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</row>
    <row r="298" spans="21:62" s="1" customFormat="1" ht="12.75" customHeight="1">
      <c r="U298" s="19"/>
      <c r="V298" s="19"/>
      <c r="W298" s="19"/>
      <c r="X298" s="19"/>
      <c r="Y298" s="19"/>
      <c r="Z298" s="19"/>
      <c r="AA298" s="19"/>
      <c r="AB298" s="19"/>
      <c r="AC298" s="19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</row>
    <row r="299" spans="21:62" s="1" customFormat="1" ht="12.75" customHeight="1">
      <c r="U299" s="19"/>
      <c r="V299" s="19"/>
      <c r="W299" s="19"/>
      <c r="X299" s="19"/>
      <c r="Y299" s="19"/>
      <c r="Z299" s="19"/>
      <c r="AA299" s="19"/>
      <c r="AB299" s="19"/>
      <c r="AC299" s="19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</row>
    <row r="300" spans="21:62" s="1" customFormat="1" ht="12.75" customHeight="1">
      <c r="U300" s="19"/>
      <c r="V300" s="19"/>
      <c r="W300" s="19"/>
      <c r="X300" s="19"/>
      <c r="Y300" s="19"/>
      <c r="Z300" s="19"/>
      <c r="AA300" s="19"/>
      <c r="AB300" s="19"/>
      <c r="AC300" s="19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</row>
    <row r="301" spans="21:62" s="1" customFormat="1" ht="12.75" customHeight="1">
      <c r="U301" s="19"/>
      <c r="V301" s="19"/>
      <c r="W301" s="19"/>
      <c r="X301" s="19"/>
      <c r="Y301" s="19"/>
      <c r="Z301" s="19"/>
      <c r="AA301" s="19"/>
      <c r="AB301" s="19"/>
      <c r="AC301" s="19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</row>
    <row r="302" spans="21:62" s="1" customFormat="1" ht="12.75" customHeight="1">
      <c r="U302" s="19"/>
      <c r="V302" s="19"/>
      <c r="W302" s="19"/>
      <c r="X302" s="19"/>
      <c r="Y302" s="19"/>
      <c r="Z302" s="19"/>
      <c r="AA302" s="19"/>
      <c r="AB302" s="19"/>
      <c r="AC302" s="19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</row>
    <row r="303" spans="21:62" s="1" customFormat="1" ht="12.75" customHeight="1">
      <c r="U303" s="19"/>
      <c r="V303" s="19"/>
      <c r="W303" s="19"/>
      <c r="X303" s="19"/>
      <c r="Y303" s="19"/>
      <c r="Z303" s="19"/>
      <c r="AA303" s="19"/>
      <c r="AB303" s="19"/>
      <c r="AC303" s="19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</row>
    <row r="304" spans="21:62" s="1" customFormat="1" ht="12.75" customHeight="1">
      <c r="U304" s="19"/>
      <c r="V304" s="19"/>
      <c r="W304" s="19"/>
      <c r="X304" s="19"/>
      <c r="Y304" s="19"/>
      <c r="Z304" s="19"/>
      <c r="AA304" s="19"/>
      <c r="AB304" s="19"/>
      <c r="AC304" s="19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</row>
    <row r="305" spans="21:62" s="1" customFormat="1" ht="12.75" customHeight="1">
      <c r="U305" s="19"/>
      <c r="V305" s="19"/>
      <c r="W305" s="19"/>
      <c r="X305" s="19"/>
      <c r="Y305" s="19"/>
      <c r="Z305" s="19"/>
      <c r="AA305" s="19"/>
      <c r="AB305" s="19"/>
      <c r="AC305" s="19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</row>
    <row r="306" spans="21:62" s="1" customFormat="1" ht="12.75" customHeight="1">
      <c r="U306" s="19"/>
      <c r="V306" s="19"/>
      <c r="W306" s="19"/>
      <c r="X306" s="19"/>
      <c r="Y306" s="19"/>
      <c r="Z306" s="19"/>
      <c r="AA306" s="19"/>
      <c r="AB306" s="19"/>
      <c r="AC306" s="19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</row>
    <row r="307" spans="21:62" s="1" customFormat="1" ht="12.75" customHeight="1">
      <c r="U307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21:62" s="1" customFormat="1" ht="12.75" customHeight="1">
      <c r="U308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21:62" s="1" customFormat="1" ht="12.75" customHeight="1">
      <c r="U309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21:62" s="1" customFormat="1" ht="12.75" customHeight="1">
      <c r="U310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</sheetData>
  <sheetProtection autoFilter="0" pivotTables="0"/>
  <protectedRanges>
    <protectedRange sqref="G6" name="Nozzle"/>
    <protectedRange sqref="F16" name="Orifice"/>
    <protectedRange sqref="I16" name="Angle"/>
    <protectedRange sqref="M16" name="Pressure"/>
    <protectedRange sqref="P16" name="Airspeed"/>
  </protectedRanges>
  <customSheetViews>
    <customSheetView guid="{CD17FB03-8870-11D2-8172-00C04FC29620}" fitToPage="1" showRuler="0">
      <selection activeCell="D11" sqref="D11"/>
      <pageMargins left="0.7" right="0.7" top="0.75" bottom="0.75" header="0.3" footer="0.3"/>
      <pageSetup scale="37" orientation="landscape" verticalDpi="300" copies="0"/>
      <headerFooter alignWithMargins="0"/>
    </customSheetView>
  </customSheetViews>
  <mergeCells count="10">
    <mergeCell ref="D33:R33"/>
    <mergeCell ref="C30:S32"/>
    <mergeCell ref="G3:N4"/>
    <mergeCell ref="C14:D15"/>
    <mergeCell ref="G6:P6"/>
    <mergeCell ref="C5:F6"/>
    <mergeCell ref="G20:S20"/>
    <mergeCell ref="G19:S19"/>
    <mergeCell ref="G21:S21"/>
    <mergeCell ref="C12:S12"/>
  </mergeCells>
  <phoneticPr fontId="0" type="noConversion"/>
  <dataValidations count="1">
    <dataValidation type="list" allowBlank="1" showInputMessage="1" showErrorMessage="1" sqref="V21" xr:uid="{00000000-0002-0000-0000-000000000000}">
      <formula1>$V$16:$V$22</formula1>
    </dataValidation>
  </dataValidations>
  <printOptions horizontalCentered="1" verticalCentered="1"/>
  <pageMargins left="0.7" right="0.7" top="0.75" bottom="0.75" header="0.3" footer="0.3"/>
  <pageSetup scale="70" orientation="portrait" verticalDpi="30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'Model Parameters'!$A$2:$A$20</xm:f>
          </x14:formula1>
          <xm:sqref>G6:P6</xm:sqref>
        </x14:dataValidation>
        <x14:dataValidation type="list" allowBlank="1" showInputMessage="1" showErrorMessage="1" xr:uid="{00000000-0002-0000-0000-000002000000}">
          <x14:formula1>
            <xm:f>'Model Parameters'!$P$14:$P$27</xm:f>
          </x14:formula1>
          <xm:sqref>F16</xm:sqref>
        </x14:dataValidation>
        <x14:dataValidation type="list" allowBlank="1" showInputMessage="1" showErrorMessage="1" xr:uid="{00000000-0002-0000-0000-000003000000}">
          <x14:formula1>
            <xm:f>'Model Parameters'!$S$14:$S$23</xm:f>
          </x14:formula1>
          <xm:sqref>I16</xm:sqref>
        </x14:dataValidation>
        <x14:dataValidation type="list" allowBlank="1" showInputMessage="1" showErrorMessage="1" xr:uid="{00000000-0002-0000-0000-000004000000}">
          <x14:formula1>
            <xm:f>'Model Parameters'!$Q$14:$Q$28</xm:f>
          </x14:formula1>
          <xm:sqref>P16</xm:sqref>
        </x14:dataValidation>
        <x14:dataValidation type="list" allowBlank="1" showInputMessage="1" showErrorMessage="1" xr:uid="{00000000-0002-0000-0000-000005000000}">
          <x14:formula1>
            <xm:f>'Model Parameters'!$R$14:$R$26</xm:f>
          </x14:formula1>
          <xm:sqref>M16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AB244"/>
  <sheetViews>
    <sheetView topLeftCell="A192" workbookViewId="0">
      <selection activeCell="A219" sqref="A219"/>
    </sheetView>
  </sheetViews>
  <sheetFormatPr baseColWidth="10" defaultColWidth="8.83203125" defaultRowHeight="13"/>
  <cols>
    <col min="1" max="1" width="39" customWidth="1"/>
    <col min="2" max="2" width="19" customWidth="1"/>
    <col min="3" max="3" width="12.33203125" customWidth="1"/>
    <col min="4" max="4" width="11.33203125" customWidth="1"/>
    <col min="19" max="19" width="16" bestFit="1" customWidth="1"/>
  </cols>
  <sheetData>
    <row r="1" spans="1:19" ht="14">
      <c r="A1" s="100" t="s">
        <v>20</v>
      </c>
      <c r="B1" s="100" t="s">
        <v>22</v>
      </c>
      <c r="D1" s="191" t="s">
        <v>23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</row>
    <row r="2" spans="1:19" ht="15" thickBot="1">
      <c r="A2" s="100" t="s">
        <v>88</v>
      </c>
      <c r="B2" s="100" t="s">
        <v>53</v>
      </c>
      <c r="D2" s="192" t="s">
        <v>26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19" ht="14" thickBot="1">
      <c r="A3" s="100" t="s">
        <v>91</v>
      </c>
      <c r="B3" s="100" t="s">
        <v>53</v>
      </c>
      <c r="D3" s="32"/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10">
        <v>14</v>
      </c>
      <c r="R3" s="10">
        <v>15</v>
      </c>
      <c r="S3" s="11">
        <v>16</v>
      </c>
    </row>
    <row r="4" spans="1:19" ht="14" thickBot="1">
      <c r="A4" s="100" t="s">
        <v>89</v>
      </c>
      <c r="B4" s="100" t="s">
        <v>53</v>
      </c>
      <c r="D4" s="35"/>
      <c r="E4" s="102" t="s">
        <v>54</v>
      </c>
      <c r="F4" s="39" t="s">
        <v>28</v>
      </c>
      <c r="G4" s="39" t="s">
        <v>30</v>
      </c>
      <c r="H4" s="39" t="s">
        <v>36</v>
      </c>
      <c r="I4" s="39" t="s">
        <v>29</v>
      </c>
      <c r="J4" s="39" t="s">
        <v>56</v>
      </c>
      <c r="K4" s="39" t="s">
        <v>55</v>
      </c>
      <c r="L4" s="39" t="s">
        <v>57</v>
      </c>
      <c r="M4" s="39" t="s">
        <v>58</v>
      </c>
      <c r="N4" s="39" t="s">
        <v>59</v>
      </c>
      <c r="O4" s="39" t="s">
        <v>60</v>
      </c>
      <c r="P4" s="39" t="s">
        <v>61</v>
      </c>
      <c r="Q4" s="39" t="s">
        <v>62</v>
      </c>
      <c r="R4" s="39" t="s">
        <v>63</v>
      </c>
      <c r="S4" s="40" t="s">
        <v>64</v>
      </c>
    </row>
    <row r="5" spans="1:19">
      <c r="A5" s="100" t="s">
        <v>90</v>
      </c>
      <c r="B5" s="100" t="s">
        <v>53</v>
      </c>
      <c r="D5" s="33" t="s">
        <v>24</v>
      </c>
      <c r="E5" s="10">
        <f>VLOOKUP('Atomization Model'!$G$6,DV0.1,E3, FALSE)</f>
        <v>85.604962314000005</v>
      </c>
      <c r="F5" s="10">
        <f>VLOOKUP('Atomization Model'!$G$6,DV0.1,F3, FALSE)</f>
        <v>9.5838055571999998</v>
      </c>
      <c r="G5" s="10">
        <f>VLOOKUP('Atomization Model'!$G$6,DV0.1,G3, FALSE)</f>
        <v>-22.16106126</v>
      </c>
      <c r="H5" s="10">
        <f>VLOOKUP('Atomization Model'!$G$6,DV0.1,H3, FALSE)</f>
        <v>-0.56746907899999999</v>
      </c>
      <c r="I5" s="109">
        <f>VLOOKUP('Atomization Model'!$G$6,DV0.1,I3, FALSE)</f>
        <v>-38.673677099999999</v>
      </c>
      <c r="J5">
        <f>VLOOKUP('Atomization Model'!$G$6,DV0.1,J3, FALSE)</f>
        <v>-6.5188862460000001</v>
      </c>
      <c r="K5">
        <f>VLOOKUP('Atomization Model'!$G$6,DV0.1,K3, FALSE)</f>
        <v>2.0607291963000001</v>
      </c>
      <c r="L5">
        <f>VLOOKUP('Atomization Model'!$G$6,DV0.1,L3, FALSE)</f>
        <v>4.1763437519000002</v>
      </c>
      <c r="M5">
        <f>VLOOKUP('Atomization Model'!$G$6,DV0.1,M3, FALSE)</f>
        <v>-1.110815476</v>
      </c>
      <c r="N5">
        <f>VLOOKUP('Atomization Model'!$G$6,DV0.1,N3, FALSE)</f>
        <v>10.960260411</v>
      </c>
      <c r="O5" s="107">
        <f>VLOOKUP('Atomization Model'!$G$6,DV0.1,O3, FALSE)</f>
        <v>-2.9471979190000002</v>
      </c>
      <c r="P5" s="10">
        <f>VLOOKUP('Atomization Model'!$G$6,DV0.1,P3, FALSE)</f>
        <v>-6.716207603</v>
      </c>
      <c r="Q5" s="10">
        <f>VLOOKUP('Atomization Model'!$G$6,DV0.1,Q3, FALSE)</f>
        <v>0.1304496168</v>
      </c>
      <c r="R5" s="10">
        <f>VLOOKUP('Atomization Model'!$G$6,DV0.1,R3, FALSE)</f>
        <v>-2.8350503680000001</v>
      </c>
      <c r="S5" s="10">
        <f>VLOOKUP('Atomization Model'!$G$6,DV0.1,S3, FALSE)</f>
        <v>14.278949617</v>
      </c>
    </row>
    <row r="6" spans="1:19">
      <c r="A6" s="100" t="s">
        <v>92</v>
      </c>
      <c r="B6" s="100" t="s">
        <v>53</v>
      </c>
      <c r="D6" s="33" t="s">
        <v>25</v>
      </c>
      <c r="E6">
        <f>VLOOKUP('Atomization Model'!$G$6,DV0.5,E3,FALSE)</f>
        <v>223.09979292</v>
      </c>
      <c r="F6">
        <f>VLOOKUP('Atomization Model'!$G$6,DV0.5,F3,FALSE)</f>
        <v>39.613916668000002</v>
      </c>
      <c r="G6">
        <f>VLOOKUP('Atomization Model'!$G$6,DV0.5,G3,FALSE)</f>
        <v>-52.048733939999998</v>
      </c>
      <c r="H6">
        <f>VLOOKUP('Atomization Model'!$G$6,DV0.5,H3,FALSE)</f>
        <v>2.7981742856</v>
      </c>
      <c r="I6" s="110">
        <f>VLOOKUP('Atomization Model'!$G$6,DV0.5,I3,FALSE)</f>
        <v>-80.800582890000001</v>
      </c>
      <c r="J6">
        <f>VLOOKUP('Atomization Model'!$G$6,DV0.5,J3,FALSE)</f>
        <v>-18.293641780000002</v>
      </c>
      <c r="K6">
        <f>VLOOKUP('Atomization Model'!$G$6,DV0.5,K3,FALSE)</f>
        <v>3.1661266778999999</v>
      </c>
      <c r="L6">
        <f>VLOOKUP('Atomization Model'!$G$6,DV0.5,L3,FALSE)</f>
        <v>6.7144687519000001</v>
      </c>
      <c r="M6">
        <f>VLOOKUP('Atomization Model'!$G$6,DV0.5,M3,FALSE)</f>
        <v>-11.79494423</v>
      </c>
      <c r="N6">
        <f>VLOOKUP('Atomization Model'!$G$6,DV0.5,N3,FALSE)</f>
        <v>20.869218748000002</v>
      </c>
      <c r="O6" s="108">
        <f>VLOOKUP('Atomization Model'!$G$6,DV0.5,O3,FALSE)</f>
        <v>-9.8551979230000004</v>
      </c>
      <c r="P6">
        <f>VLOOKUP('Atomization Model'!$G$6,DV0.5,P3,FALSE)</f>
        <v>-27.791864919999998</v>
      </c>
      <c r="Q6">
        <f>VLOOKUP('Atomization Model'!$G$6,DV0.5,Q3,FALSE)</f>
        <v>3.3159957375000002</v>
      </c>
      <c r="R6">
        <f>VLOOKUP('Atomization Model'!$G$6,DV0.5,R3,FALSE)</f>
        <v>-7.1113375620000001</v>
      </c>
      <c r="S6">
        <f>VLOOKUP('Atomization Model'!$G$6,DV0.5,S3,FALSE)</f>
        <v>24.209829087999999</v>
      </c>
    </row>
    <row r="7" spans="1:19">
      <c r="A7" s="100" t="s">
        <v>105</v>
      </c>
      <c r="B7" s="100" t="s">
        <v>53</v>
      </c>
      <c r="D7" s="33" t="s">
        <v>27</v>
      </c>
      <c r="E7">
        <f>VLOOKUP('Atomization Model'!$G$6,DV0.9,E3,FALSE)</f>
        <v>401.79046720000002</v>
      </c>
      <c r="F7">
        <f>VLOOKUP('Atomization Model'!$G$6,DV0.9,F3,FALSE)</f>
        <v>95.066101844000002</v>
      </c>
      <c r="G7">
        <f>VLOOKUP('Atomization Model'!$G$6,DV0.9,G3,FALSE)</f>
        <v>-86.99491956</v>
      </c>
      <c r="H7">
        <f>VLOOKUP('Atomization Model'!$G$6,DV0.9,H3,FALSE)</f>
        <v>13.964785601999999</v>
      </c>
      <c r="I7" s="110">
        <f>VLOOKUP('Atomization Model'!$G$6,DV0.9,I3,FALSE)</f>
        <v>-165.13959600000001</v>
      </c>
      <c r="J7">
        <f>VLOOKUP('Atomization Model'!$G$6,DV0.9,J3,FALSE)</f>
        <v>-23.78403029</v>
      </c>
      <c r="K7">
        <f>VLOOKUP('Atomization Model'!$G$6,DV0.9,K3,FALSE)</f>
        <v>8.1268211123</v>
      </c>
      <c r="L7">
        <f>VLOOKUP('Atomization Model'!$G$6,DV0.9,L3,FALSE)</f>
        <v>14.574385413</v>
      </c>
      <c r="M7">
        <f>VLOOKUP('Atomization Model'!$G$6,DV0.9,M3,FALSE)</f>
        <v>-41.665592109999999</v>
      </c>
      <c r="N7">
        <f>VLOOKUP('Atomization Model'!$G$6,DV0.9,N3,FALSE)</f>
        <v>32.228968762000001</v>
      </c>
      <c r="O7" s="108">
        <f>VLOOKUP('Atomization Model'!$G$6,DV0.9,O3,FALSE)</f>
        <v>-31.812322909999999</v>
      </c>
      <c r="P7">
        <f>VLOOKUP('Atomization Model'!$G$6,DV0.9,P3,FALSE)</f>
        <v>-53.473723819999996</v>
      </c>
      <c r="Q7">
        <f>VLOOKUP('Atomization Model'!$G$6,DV0.9,Q3,FALSE)</f>
        <v>0.54320384970000002</v>
      </c>
      <c r="R7">
        <f>VLOOKUP('Atomization Model'!$G$6,DV0.9,R3,FALSE)</f>
        <v>-6.8031294500000001</v>
      </c>
      <c r="S7">
        <f>VLOOKUP('Atomization Model'!$G$6,DV0.9,S3,FALSE)</f>
        <v>60.296370549999999</v>
      </c>
    </row>
    <row r="8" spans="1:19" ht="14">
      <c r="A8" s="100" t="s">
        <v>93</v>
      </c>
      <c r="B8" s="100" t="s">
        <v>53</v>
      </c>
      <c r="D8" s="33" t="s">
        <v>7</v>
      </c>
      <c r="E8">
        <f>VLOOKUP('Atomization Model'!$G$6,Less100,E3,FALSE)</f>
        <v>12.981614618</v>
      </c>
      <c r="F8">
        <f>VLOOKUP('Atomization Model'!$G$6,Less100,F3,FALSE)</f>
        <v>-5.8333006579999997</v>
      </c>
      <c r="G8">
        <f>VLOOKUP('Atomization Model'!$G$6,Less100,G3,FALSE)</f>
        <v>8.0024463149000002</v>
      </c>
      <c r="H8">
        <f>VLOOKUP('Atomization Model'!$G$6,Less100,H3,FALSE)</f>
        <v>0.34762834929999997</v>
      </c>
      <c r="I8" s="110">
        <f>VLOOKUP('Atomization Model'!$G$6,Less100,I3,FALSE)</f>
        <v>14.193920816</v>
      </c>
      <c r="J8">
        <f>VLOOKUP('Atomization Model'!$G$6,Less100,J3,FALSE)</f>
        <v>-1.900799785</v>
      </c>
      <c r="K8">
        <f>VLOOKUP('Atomization Model'!$G$6,Less100,K3,FALSE)</f>
        <v>0.37019112209999999</v>
      </c>
      <c r="L8">
        <f>VLOOKUP('Atomization Model'!$G$6,Less100,L3,FALSE)</f>
        <v>-0.43663369699999999</v>
      </c>
      <c r="M8">
        <f>VLOOKUP('Atomization Model'!$G$6,Less100,M3,FALSE)</f>
        <v>-5.623381137</v>
      </c>
      <c r="N8">
        <f>VLOOKUP('Atomization Model'!$G$6,Less100,N3,FALSE)</f>
        <v>4.3428516351999997</v>
      </c>
      <c r="O8" s="108">
        <f>VLOOKUP('Atomization Model'!$G$6,Less100,O3,FALSE)</f>
        <v>1.2063513018000001</v>
      </c>
      <c r="P8">
        <f>VLOOKUP('Atomization Model'!$G$6,Less100,P3,FALSE)</f>
        <v>3.4956393491000002</v>
      </c>
      <c r="Q8">
        <f>VLOOKUP('Atomization Model'!$G$6,Less100,Q3,FALSE)</f>
        <v>2.0858292933000002</v>
      </c>
      <c r="R8">
        <f>VLOOKUP('Atomization Model'!$G$6,Less100,R3,FALSE)</f>
        <v>0.85852162679999999</v>
      </c>
      <c r="S8">
        <f>VLOOKUP('Atomization Model'!$G$6,Less100,S3,FALSE)</f>
        <v>2.6107221267999998</v>
      </c>
    </row>
    <row r="9" spans="1:19" ht="14">
      <c r="A9" s="100" t="s">
        <v>94</v>
      </c>
      <c r="B9" s="100" t="s">
        <v>53</v>
      </c>
      <c r="D9" s="33" t="s">
        <v>106</v>
      </c>
      <c r="E9">
        <f>VLOOKUP('Atomization Model'!$G$6,Less200,E3,FALSE)</f>
        <v>45.491105097000002</v>
      </c>
      <c r="F9">
        <f>VLOOKUP('Atomization Model'!$G$6,Less200,F3,FALSE)</f>
        <v>-9.6485257410000003</v>
      </c>
      <c r="G9">
        <f>VLOOKUP('Atomization Model'!$G$6,Less200,G3,FALSE)</f>
        <v>13.035434228</v>
      </c>
      <c r="H9">
        <f>VLOOKUP('Atomization Model'!$G$6,Less200,H3,FALSE)</f>
        <v>0.37329508439999998</v>
      </c>
      <c r="I9" s="110">
        <f>VLOOKUP('Atomization Model'!$G$6,Less200,I3,FALSE)</f>
        <v>23.733092411000001</v>
      </c>
      <c r="J9">
        <f>VLOOKUP('Atomization Model'!$G$6,Less200,J3,FALSE)</f>
        <v>1.5179273898000001</v>
      </c>
      <c r="K9">
        <f>VLOOKUP('Atomization Model'!$G$6,Less200,K3,FALSE)</f>
        <v>0.44032225759999999</v>
      </c>
      <c r="L9">
        <f>VLOOKUP('Atomization Model'!$G$6,Less200,L3,FALSE)</f>
        <v>-3.2947783529999999</v>
      </c>
      <c r="M9">
        <f>VLOOKUP('Atomization Model'!$G$6,Less200,M3,FALSE)</f>
        <v>-3.140545033</v>
      </c>
      <c r="N9">
        <f>VLOOKUP('Atomization Model'!$G$6,Less200,N3,FALSE)</f>
        <v>-0.46233760400000001</v>
      </c>
      <c r="O9" s="108">
        <f>VLOOKUP('Atomization Model'!$G$6,Less200,O3,FALSE)</f>
        <v>2.9421637293999998</v>
      </c>
      <c r="P9">
        <f>VLOOKUP('Atomization Model'!$G$6,Less200,P3,FALSE)</f>
        <v>8.1139141764999998</v>
      </c>
      <c r="Q9">
        <f>VLOOKUP('Atomization Model'!$G$6,Less200,Q3,FALSE)</f>
        <v>1.1967205751000001</v>
      </c>
      <c r="R9">
        <f>VLOOKUP('Atomization Model'!$G$6,Less200,R3,FALSE)</f>
        <v>-1.09152392</v>
      </c>
      <c r="S9">
        <f>VLOOKUP('Atomization Model'!$G$6,Less200,S3,FALSE)</f>
        <v>1.0251279100999999</v>
      </c>
    </row>
    <row r="10" spans="1:19" ht="14" thickBot="1">
      <c r="A10" s="100" t="s">
        <v>96</v>
      </c>
      <c r="B10" s="100" t="s">
        <v>53</v>
      </c>
      <c r="D10" s="3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</row>
    <row r="11" spans="1:19">
      <c r="A11" s="100" t="s">
        <v>98</v>
      </c>
      <c r="B11" s="100" t="s">
        <v>53</v>
      </c>
    </row>
    <row r="12" spans="1:19" ht="15">
      <c r="A12" s="100" t="s">
        <v>104</v>
      </c>
      <c r="B12" s="100" t="s">
        <v>53</v>
      </c>
      <c r="I12" s="48" t="s">
        <v>12</v>
      </c>
      <c r="J12" s="50">
        <f>E5+$F$14*F5+$F$15*G5+$F$16*H5+$F$17*I5+$F$14*$F$15*J5+$F$14*$F$16*K5+$F$15*$F$16*L5+$F$14*$F$17*M5+$F$15*$F$17*N5+$F$16*$F$17*O5+$F$14*$F$14*P5+$F$15*$F$15*Q5+$F$16*$F$16*R5+$F$17*$F$17*S5</f>
        <v>132.90793807863813</v>
      </c>
      <c r="K12">
        <f>IF(J12&lt;0,0,J12)</f>
        <v>132.90793807863813</v>
      </c>
      <c r="O12" s="7" t="s">
        <v>35</v>
      </c>
    </row>
    <row r="13" spans="1:19" ht="15">
      <c r="A13" s="100" t="s">
        <v>102</v>
      </c>
      <c r="B13" s="100" t="s">
        <v>53</v>
      </c>
      <c r="E13" s="7" t="s">
        <v>81</v>
      </c>
      <c r="F13" s="7" t="s">
        <v>82</v>
      </c>
      <c r="I13" s="48" t="s">
        <v>14</v>
      </c>
      <c r="J13" s="50">
        <f t="shared" ref="J13:J14" si="0">E6+$F$14*F6+$F$15*G6+$F$16*H6+$F$17*I6+$F$14*$F$15*J6+$F$14*$F$16*K6+$F$15*$F$16*L6+$F$14*$F$17*M6+$F$15*$F$17*N6+$F$16*$F$17*O6+$F$14*$F$14*P6+$F$15*$F$15*Q6+$F$16*$F$16*R6+$F$17*$F$17*S6</f>
        <v>274.77977085606369</v>
      </c>
      <c r="K13">
        <f>IF(J13&lt;0,0,J13)</f>
        <v>274.77977085606369</v>
      </c>
      <c r="O13">
        <v>2</v>
      </c>
      <c r="P13" s="7" t="s">
        <v>28</v>
      </c>
      <c r="Q13" s="7" t="s">
        <v>30</v>
      </c>
      <c r="R13" s="7" t="s">
        <v>36</v>
      </c>
      <c r="S13" s="7" t="s">
        <v>29</v>
      </c>
    </row>
    <row r="14" spans="1:19" ht="15">
      <c r="A14" s="101" t="s">
        <v>147</v>
      </c>
      <c r="B14" s="100" t="s">
        <v>53</v>
      </c>
      <c r="D14" t="s">
        <v>49</v>
      </c>
      <c r="E14">
        <f>'Atomization Model'!F16</f>
        <v>4</v>
      </c>
      <c r="F14">
        <f>(E14-E20)/F20</f>
        <v>-0.8571428571428571</v>
      </c>
      <c r="I14" s="48" t="s">
        <v>15</v>
      </c>
      <c r="J14" s="50">
        <f t="shared" si="0"/>
        <v>478.08820095903155</v>
      </c>
      <c r="O14">
        <v>3</v>
      </c>
      <c r="P14">
        <f>VLOOKUP('Atomization Model'!$G$6,Orifice,O14,FALSE)</f>
        <v>2</v>
      </c>
      <c r="Q14">
        <f>VLOOKUP('Atomization Model'!$G$6,Airspeed,O13,FALSE)</f>
        <v>120</v>
      </c>
      <c r="R14">
        <v>30</v>
      </c>
      <c r="S14">
        <f>VLOOKUP('Atomization Model'!$G$6,Angle,O14,FALSE)</f>
        <v>0</v>
      </c>
    </row>
    <row r="15" spans="1:19">
      <c r="A15" s="100" t="s">
        <v>151</v>
      </c>
      <c r="B15" s="100" t="s">
        <v>53</v>
      </c>
      <c r="D15" t="s">
        <v>52</v>
      </c>
      <c r="E15">
        <f>'Atomization Model'!P16</f>
        <v>140</v>
      </c>
      <c r="F15">
        <f>(E15-E21)/F21</f>
        <v>-0.33333333333333331</v>
      </c>
      <c r="I15" s="49"/>
      <c r="J15" s="50"/>
      <c r="O15">
        <v>4</v>
      </c>
      <c r="P15">
        <f>IF(VLOOKUP('Atomization Model'!$G$6,Orifice,O15,FALSE)&gt;0,VLOOKUP('Atomization Model'!$G$6,Orifice,O15,FALSE)," ")</f>
        <v>4</v>
      </c>
      <c r="Q15">
        <f>VLOOKUP('Atomization Model'!$G$6,Airspeed,O14,FALSE)</f>
        <v>125</v>
      </c>
      <c r="R15">
        <v>35</v>
      </c>
      <c r="S15">
        <f>IF(VLOOKUP('Atomization Model'!$G$6,Angle,O15,FALSE)&gt;0,VLOOKUP('Atomization Model'!$G$6,Angle,O15,FALSE)," ")</f>
        <v>15</v>
      </c>
    </row>
    <row r="16" spans="1:19">
      <c r="A16" s="100" t="s">
        <v>152</v>
      </c>
      <c r="B16" s="100" t="s">
        <v>53</v>
      </c>
      <c r="D16" t="s">
        <v>51</v>
      </c>
      <c r="E16">
        <f>'Atomization Model'!M16</f>
        <v>40</v>
      </c>
      <c r="F16">
        <f>(E16-E22)/F22</f>
        <v>-0.66666666666666663</v>
      </c>
      <c r="I16" s="47" t="s">
        <v>8</v>
      </c>
      <c r="J16" s="50">
        <f>E8+$F$14*F8+$F$15*G8+$F$16*H8+$F$17*I8+$F$14*$F$15*J8+$F$14*$F$16*K8+$F$15*$F$16*L8+$F$14*$F$17*M8+$F$15*$F$17*N8+$F$16*$F$17*O8+$F$14*$F$14*P8+$F$15*$F$15*Q8+$F$16*$F$16*R8+$F$17*$F$17*S8</f>
        <v>3.6839352483990906</v>
      </c>
      <c r="K16">
        <f>IF(J16&lt;0,0.01,J16)</f>
        <v>3.6839352483990906</v>
      </c>
      <c r="O16">
        <v>5</v>
      </c>
      <c r="P16">
        <f>IF(VLOOKUP('Atomization Model'!$G$6,Orifice,O16,FALSE)&gt;0,VLOOKUP('Atomization Model'!$G$6,Orifice,O16,FALSE)," ")</f>
        <v>6</v>
      </c>
      <c r="Q16">
        <f>VLOOKUP('Atomization Model'!$G$6,Airspeed,O15,FALSE)</f>
        <v>130</v>
      </c>
      <c r="R16">
        <v>40</v>
      </c>
      <c r="S16">
        <f>IF(VLOOKUP('Atomization Model'!$G$6,Angle,O16,FALSE)&gt;0,VLOOKUP('Atomization Model'!$G$6,Angle,O16,FALSE)," ")</f>
        <v>30</v>
      </c>
    </row>
    <row r="17" spans="1:19">
      <c r="A17" s="101"/>
      <c r="B17" s="100"/>
      <c r="D17" t="s">
        <v>50</v>
      </c>
      <c r="E17">
        <f>'Atomization Model'!I16</f>
        <v>0</v>
      </c>
      <c r="F17">
        <f>(E17-E23)/F23</f>
        <v>-1</v>
      </c>
      <c r="I17" s="47" t="s">
        <v>9</v>
      </c>
      <c r="J17" s="50">
        <f>E9+$F$14*F9+$F$15*G9+$F$16*H9+$F$17*I9+$F$14*$F$15*J9+$F$14*$F$16*K9+$F$15*$F$16*L9+$F$14*$F$17*M9+$F$15*$F$17*N9+$F$16*$F$17*O9+$F$14*$F$14*P9+$F$15*$F$15*Q9+$F$16*$F$16*R9+$F$17*$F$17*S9</f>
        <v>31.13695516397279</v>
      </c>
      <c r="K17">
        <f>IF(J17&lt;0,0.02,J17)</f>
        <v>31.13695516397279</v>
      </c>
      <c r="O17">
        <v>6</v>
      </c>
      <c r="P17">
        <f>IF(VLOOKUP('Atomization Model'!$G$6,Orifice,O17,FALSE)&gt;0,VLOOKUP('Atomization Model'!$G$6,Orifice,O17,FALSE)," ")</f>
        <v>8</v>
      </c>
      <c r="Q17">
        <f>VLOOKUP('Atomization Model'!$G$6,Airspeed,O16,FALSE)</f>
        <v>135</v>
      </c>
      <c r="R17">
        <v>45</v>
      </c>
      <c r="S17">
        <f>IF(VLOOKUP('Atomization Model'!$G$6,Angle,O17,FALSE)&gt;0,VLOOKUP('Atomization Model'!$G$6,Angle,O17,FALSE)," ")</f>
        <v>45</v>
      </c>
    </row>
    <row r="18" spans="1:19">
      <c r="A18" s="101"/>
      <c r="B18" s="100"/>
      <c r="O18">
        <v>7</v>
      </c>
      <c r="P18">
        <f>IF(VLOOKUP('Atomization Model'!$G$6,Orifice,O18,FALSE)&gt;0,VLOOKUP('Atomization Model'!$G$6,Orifice,O18,FALSE)," ")</f>
        <v>10</v>
      </c>
      <c r="Q18">
        <f>VLOOKUP('Atomization Model'!$G$6,Airspeed,O17,FALSE)</f>
        <v>140</v>
      </c>
      <c r="R18">
        <v>50</v>
      </c>
      <c r="S18">
        <f>IF(VLOOKUP('Atomization Model'!$G$6,Angle,O18,FALSE)&gt;0,VLOOKUP('Atomization Model'!$G$6,Angle,O18,FALSE)," ")</f>
        <v>60</v>
      </c>
    </row>
    <row r="19" spans="1:19">
      <c r="A19" s="101"/>
      <c r="B19" s="100"/>
      <c r="E19" s="7" t="s">
        <v>70</v>
      </c>
      <c r="F19" s="7" t="s">
        <v>71</v>
      </c>
      <c r="O19">
        <v>8</v>
      </c>
      <c r="P19">
        <f>IF(VLOOKUP('Atomization Model'!$G$6,Orifice,O19,FALSE)&gt;0,VLOOKUP('Atomization Model'!$G$6,Orifice,O19,FALSE)," ")</f>
        <v>12</v>
      </c>
      <c r="Q19">
        <f>VLOOKUP('Atomization Model'!$G$6,Airspeed,O18,FALSE)</f>
        <v>145</v>
      </c>
      <c r="R19">
        <v>55</v>
      </c>
      <c r="S19">
        <f>IF(VLOOKUP('Atomization Model'!$G$6,Angle,O19,FALSE)&gt;0,VLOOKUP('Atomization Model'!$G$6,Angle,O19,FALSE)," ")</f>
        <v>75</v>
      </c>
    </row>
    <row r="20" spans="1:19">
      <c r="A20" s="101"/>
      <c r="B20" s="100"/>
      <c r="D20" s="7" t="s">
        <v>66</v>
      </c>
      <c r="E20">
        <f>VLOOKUP('Atomization Model'!$G$6,CCDFactors,2,)</f>
        <v>16</v>
      </c>
      <c r="F20">
        <f>VLOOKUP('Atomization Model'!$G$6,CCDFactors,3,FALSE)</f>
        <v>14</v>
      </c>
      <c r="O20">
        <v>9</v>
      </c>
      <c r="P20">
        <f>IF(VLOOKUP('Atomization Model'!$G$6,Orifice,O20,FALSE)&gt;0,VLOOKUP('Atomization Model'!$G$6,Orifice,O20,FALSE)," ")</f>
        <v>15</v>
      </c>
      <c r="Q20">
        <f>VLOOKUP('Atomization Model'!$G$6,Airspeed,O19,FALSE)</f>
        <v>150</v>
      </c>
      <c r="R20">
        <v>60</v>
      </c>
      <c r="S20">
        <f>IF(VLOOKUP('Atomization Model'!$G$6,Angle,O20,FALSE)&gt;0,VLOOKUP('Atomization Model'!$G$6,Angle,O20,FALSE)," ")</f>
        <v>90</v>
      </c>
    </row>
    <row r="21" spans="1:19">
      <c r="D21" s="7" t="s">
        <v>67</v>
      </c>
      <c r="E21">
        <f>VLOOKUP('Atomization Model'!$G$6,CCDFactors,4,FALSE)</f>
        <v>150</v>
      </c>
      <c r="F21">
        <f>VLOOKUP('Atomization Model'!$G$6,CCDFactors,5,FALSE)</f>
        <v>30</v>
      </c>
      <c r="O21">
        <v>10</v>
      </c>
      <c r="P21">
        <f>IF(VLOOKUP('Atomization Model'!$G$6,Orifice,O21,FALSE)&gt;0,VLOOKUP('Atomization Model'!$G$6,Orifice,O21,FALSE)," ")</f>
        <v>20</v>
      </c>
      <c r="Q21">
        <f>VLOOKUP('Atomization Model'!$G$6,Airspeed,O20,FALSE)</f>
        <v>155</v>
      </c>
      <c r="R21">
        <v>65</v>
      </c>
      <c r="S21" t="str">
        <f>IF(VLOOKUP('Atomization Model'!$G$6,Angle,O21,FALSE)&gt;0,VLOOKUP('Atomization Model'!$G$6,Angle,O21,FALSE)," ")</f>
        <v xml:space="preserve"> </v>
      </c>
    </row>
    <row r="22" spans="1:19">
      <c r="D22" s="7" t="s">
        <v>68</v>
      </c>
      <c r="E22">
        <f>VLOOKUP('Atomization Model'!$G$6,CCDFactors,6,FALSE)</f>
        <v>60</v>
      </c>
      <c r="F22">
        <f>VLOOKUP('Atomization Model'!$G$6,CCDFactors,7,FALSE)</f>
        <v>30</v>
      </c>
      <c r="O22">
        <v>11</v>
      </c>
      <c r="P22">
        <f>IF(VLOOKUP('Atomization Model'!$G$6,Orifice,O22,FALSE)&gt;0,VLOOKUP('Atomization Model'!$G$6,Orifice,O22,FALSE)," ")</f>
        <v>30</v>
      </c>
      <c r="Q22">
        <f>VLOOKUP('Atomization Model'!$G$6,Airspeed,O21,FALSE)</f>
        <v>160</v>
      </c>
      <c r="R22">
        <v>70</v>
      </c>
      <c r="S22" t="str">
        <f>IF(VLOOKUP('Atomization Model'!$G$6,Angle,O22,FALSE)&gt;0,VLOOKUP('Atomization Model'!$G$6,Angle,O22,FALSE)," ")</f>
        <v xml:space="preserve"> </v>
      </c>
    </row>
    <row r="23" spans="1:19">
      <c r="D23" s="7" t="s">
        <v>69</v>
      </c>
      <c r="E23">
        <f>VLOOKUP('Atomization Model'!$G$6,CCDFactors,8,FALSE)</f>
        <v>45</v>
      </c>
      <c r="F23">
        <f>VLOOKUP('Atomization Model'!$G$6,CCDFactors,9,FALSE)</f>
        <v>45</v>
      </c>
      <c r="O23">
        <v>12</v>
      </c>
      <c r="P23" t="str">
        <f>IF(VLOOKUP('Atomization Model'!$G$6,Orifice,O23,FALSE)&gt;0,VLOOKUP('Atomization Model'!$G$6,Orifice,O23,FALSE)," ")</f>
        <v xml:space="preserve"> </v>
      </c>
      <c r="Q23">
        <f>VLOOKUP('Atomization Model'!$G$6,Airspeed,O22,FALSE)</f>
        <v>165</v>
      </c>
      <c r="R23">
        <v>75</v>
      </c>
      <c r="S23" t="str">
        <f>IF(VLOOKUP('Atomization Model'!$G$6,Angle,O23,FALSE)&gt;0,VLOOKUP('Atomization Model'!$G$6,Angle,O23,FALSE)," ")</f>
        <v xml:space="preserve"> </v>
      </c>
    </row>
    <row r="24" spans="1:19">
      <c r="O24">
        <v>13</v>
      </c>
      <c r="P24" t="str">
        <f>IF(VLOOKUP('Atomization Model'!$G$6,Orifice,O24,FALSE)&gt;0,VLOOKUP('Atomization Model'!$G$6,Orifice,O24,FALSE)," ")</f>
        <v xml:space="preserve"> </v>
      </c>
      <c r="Q24">
        <f>VLOOKUP('Atomization Model'!$G$6,Airspeed,O23,FALSE)</f>
        <v>170</v>
      </c>
      <c r="R24">
        <v>80</v>
      </c>
      <c r="S24" t="str">
        <f>IF(VLOOKUP('Atomization Model'!$G$6,Angle,O24,FALSE)&gt;0,VLOOKUP('Atomization Model'!$G$6,Angle,O24,FALSE)," ")</f>
        <v xml:space="preserve"> </v>
      </c>
    </row>
    <row r="25" spans="1:19">
      <c r="O25">
        <v>14</v>
      </c>
      <c r="P25" t="str">
        <f>IF(VLOOKUP('Atomization Model'!$G$6,Orifice,O25,FALSE)&gt;0,VLOOKUP('Atomization Model'!$G$6,Orifice,O25,FALSE)," ")</f>
        <v xml:space="preserve"> </v>
      </c>
      <c r="Q25">
        <f>VLOOKUP('Atomization Model'!$G$6,Airspeed,O24,FALSE)</f>
        <v>175</v>
      </c>
      <c r="R25">
        <v>85</v>
      </c>
      <c r="S25" t="str">
        <f>IF(VLOOKUP('Atomization Model'!$G$6,Angle,O25,FALSE)&gt;0,VLOOKUP('Atomization Model'!$G$6,Angle,O25,FALSE)," ")</f>
        <v xml:space="preserve"> </v>
      </c>
    </row>
    <row r="26" spans="1:19">
      <c r="O26">
        <v>15</v>
      </c>
      <c r="P26" t="str">
        <f>IF(VLOOKUP('Atomization Model'!$G$6,Orifice,O26,FALSE)&gt;0,VLOOKUP('Atomization Model'!$G$6,Orifice,O26,FALSE)," ")</f>
        <v xml:space="preserve"> </v>
      </c>
      <c r="Q26">
        <f>VLOOKUP('Atomization Model'!$G$6,Airspeed,O25,FALSE)</f>
        <v>180</v>
      </c>
      <c r="R26">
        <v>90</v>
      </c>
      <c r="S26" t="str">
        <f>IF(VLOOKUP('Atomization Model'!$G$6,Angle,O26,FALSE)&gt;0,VLOOKUP('Atomization Model'!$G$6,Angle,O26,FALSE)," ")</f>
        <v xml:space="preserve"> </v>
      </c>
    </row>
    <row r="27" spans="1:19">
      <c r="O27">
        <v>16</v>
      </c>
      <c r="P27" t="str">
        <f>IF(VLOOKUP('Atomization Model'!$G$6,Orifice,O27,FALSE)&gt;0,VLOOKUP('Atomization Model'!$G$6,Orifice,O27,FALSE)," ")</f>
        <v xml:space="preserve"> </v>
      </c>
    </row>
    <row r="28" spans="1:19">
      <c r="A28" s="7" t="s">
        <v>72</v>
      </c>
      <c r="B28" s="7" t="s">
        <v>73</v>
      </c>
      <c r="C28" s="7" t="s">
        <v>74</v>
      </c>
      <c r="D28" s="7" t="s">
        <v>75</v>
      </c>
      <c r="E28" s="7" t="s">
        <v>76</v>
      </c>
      <c r="F28" s="7" t="s">
        <v>77</v>
      </c>
      <c r="G28" s="7" t="s">
        <v>78</v>
      </c>
      <c r="H28" s="7" t="s">
        <v>79</v>
      </c>
      <c r="I28" s="7" t="s">
        <v>80</v>
      </c>
    </row>
    <row r="29" spans="1:19">
      <c r="A29" s="100" t="str">
        <f>A2</f>
        <v>CP11TT 20° Flat Fan</v>
      </c>
      <c r="B29">
        <v>12</v>
      </c>
      <c r="C29">
        <v>8</v>
      </c>
      <c r="D29">
        <v>150</v>
      </c>
      <c r="E29">
        <v>30</v>
      </c>
      <c r="F29">
        <v>60</v>
      </c>
      <c r="G29">
        <v>30</v>
      </c>
      <c r="H29">
        <v>45</v>
      </c>
      <c r="I29">
        <v>45</v>
      </c>
    </row>
    <row r="30" spans="1:19">
      <c r="A30" s="100" t="str">
        <f t="shared" ref="A30:A41" si="1">A3</f>
        <v>CP11TT 40° Flat Fan</v>
      </c>
      <c r="B30">
        <v>17</v>
      </c>
      <c r="C30">
        <v>13</v>
      </c>
      <c r="D30">
        <v>150</v>
      </c>
      <c r="E30">
        <v>30</v>
      </c>
      <c r="F30">
        <v>60</v>
      </c>
      <c r="G30">
        <v>30</v>
      </c>
      <c r="H30">
        <v>45</v>
      </c>
      <c r="I30">
        <v>45</v>
      </c>
    </row>
    <row r="31" spans="1:19">
      <c r="A31" s="100" t="str">
        <f t="shared" si="1"/>
        <v>CP11TT 80° Flat Fan</v>
      </c>
      <c r="B31">
        <v>16</v>
      </c>
      <c r="C31">
        <v>14</v>
      </c>
      <c r="D31">
        <v>150</v>
      </c>
      <c r="E31">
        <v>30</v>
      </c>
      <c r="F31">
        <v>60</v>
      </c>
      <c r="G31">
        <v>30</v>
      </c>
      <c r="H31">
        <v>45</v>
      </c>
      <c r="I31">
        <v>45</v>
      </c>
    </row>
    <row r="32" spans="1:19">
      <c r="A32" s="100" t="str">
        <f t="shared" si="1"/>
        <v>CP03</v>
      </c>
      <c r="B32">
        <v>0.11650000000000001</v>
      </c>
      <c r="C32">
        <v>5.5500000000000001E-2</v>
      </c>
      <c r="D32">
        <v>150</v>
      </c>
      <c r="E32">
        <v>30</v>
      </c>
      <c r="F32">
        <v>60</v>
      </c>
      <c r="G32">
        <v>30</v>
      </c>
      <c r="H32">
        <v>60</v>
      </c>
      <c r="I32">
        <v>30</v>
      </c>
    </row>
    <row r="33" spans="1:9">
      <c r="A33" s="100" t="str">
        <f t="shared" si="1"/>
        <v>Steel Disc Core 45</v>
      </c>
      <c r="B33">
        <v>9</v>
      </c>
      <c r="C33">
        <v>7</v>
      </c>
      <c r="D33">
        <v>150</v>
      </c>
      <c r="E33">
        <v>30</v>
      </c>
      <c r="F33">
        <v>60</v>
      </c>
      <c r="G33">
        <v>30</v>
      </c>
      <c r="H33">
        <v>45</v>
      </c>
      <c r="I33">
        <v>45</v>
      </c>
    </row>
    <row r="34" spans="1:9">
      <c r="A34" s="100" t="str">
        <f t="shared" si="1"/>
        <v>Ceramic Disc Core 45</v>
      </c>
      <c r="B34">
        <v>6</v>
      </c>
      <c r="C34">
        <v>4</v>
      </c>
      <c r="D34">
        <v>150</v>
      </c>
      <c r="E34">
        <v>30</v>
      </c>
      <c r="F34">
        <v>60</v>
      </c>
      <c r="G34">
        <v>30</v>
      </c>
      <c r="H34">
        <v>45</v>
      </c>
      <c r="I34">
        <v>45</v>
      </c>
    </row>
    <row r="35" spans="1:9">
      <c r="A35" s="100" t="str">
        <f t="shared" si="1"/>
        <v>Standard 40° Flat Fan</v>
      </c>
      <c r="B35">
        <v>16</v>
      </c>
      <c r="C35">
        <v>14</v>
      </c>
      <c r="D35">
        <v>150</v>
      </c>
      <c r="E35">
        <v>30</v>
      </c>
      <c r="F35">
        <v>60</v>
      </c>
      <c r="G35">
        <v>30</v>
      </c>
      <c r="H35">
        <v>45</v>
      </c>
      <c r="I35">
        <v>45</v>
      </c>
    </row>
    <row r="36" spans="1:9">
      <c r="A36" s="100" t="str">
        <f t="shared" si="1"/>
        <v>Standard 80° Flat Fan</v>
      </c>
      <c r="B36">
        <v>16</v>
      </c>
      <c r="C36">
        <v>14</v>
      </c>
      <c r="D36">
        <v>150</v>
      </c>
      <c r="E36">
        <v>30</v>
      </c>
      <c r="F36">
        <v>60</v>
      </c>
      <c r="G36">
        <v>30</v>
      </c>
      <c r="H36">
        <v>45</v>
      </c>
      <c r="I36">
        <v>45</v>
      </c>
    </row>
    <row r="37" spans="1:9">
      <c r="A37" s="100" t="str">
        <f t="shared" si="1"/>
        <v>CP09</v>
      </c>
      <c r="B37">
        <v>0.11700000000000001</v>
      </c>
      <c r="C37">
        <v>5.5E-2</v>
      </c>
      <c r="D37">
        <v>150</v>
      </c>
      <c r="E37">
        <v>30</v>
      </c>
      <c r="F37">
        <v>60</v>
      </c>
      <c r="G37">
        <v>30</v>
      </c>
      <c r="H37">
        <v>15</v>
      </c>
      <c r="I37">
        <v>15</v>
      </c>
    </row>
    <row r="38" spans="1:9">
      <c r="A38" s="100" t="str">
        <f t="shared" si="1"/>
        <v>CP11TT Straight Stream</v>
      </c>
      <c r="B38">
        <v>15.5</v>
      </c>
      <c r="C38">
        <v>9.5</v>
      </c>
      <c r="D38">
        <v>150</v>
      </c>
      <c r="E38">
        <v>30</v>
      </c>
      <c r="F38">
        <v>60</v>
      </c>
      <c r="G38">
        <v>30</v>
      </c>
      <c r="H38">
        <v>22.5</v>
      </c>
      <c r="I38">
        <v>22.5</v>
      </c>
    </row>
    <row r="39" spans="1:9">
      <c r="A39" s="100" t="str">
        <f t="shared" si="1"/>
        <v>Disc Core Straight Stream</v>
      </c>
      <c r="B39">
        <v>7</v>
      </c>
      <c r="C39">
        <v>5</v>
      </c>
      <c r="D39">
        <v>150</v>
      </c>
      <c r="E39">
        <v>30</v>
      </c>
      <c r="F39">
        <v>60</v>
      </c>
      <c r="G39">
        <v>30</v>
      </c>
      <c r="H39">
        <v>22.5</v>
      </c>
      <c r="I39">
        <v>22.5</v>
      </c>
    </row>
    <row r="40" spans="1:9">
      <c r="A40" s="100" t="str">
        <f t="shared" si="1"/>
        <v>Davidon TriSet</v>
      </c>
      <c r="B40">
        <v>9.35E-2</v>
      </c>
      <c r="C40">
        <v>3.15E-2</v>
      </c>
      <c r="D40">
        <v>150</v>
      </c>
      <c r="E40">
        <v>30</v>
      </c>
      <c r="F40">
        <v>60</v>
      </c>
      <c r="G40">
        <v>30</v>
      </c>
      <c r="H40">
        <v>22.5</v>
      </c>
      <c r="I40">
        <v>22.5</v>
      </c>
    </row>
    <row r="41" spans="1:9">
      <c r="A41" s="100" t="str">
        <f t="shared" si="1"/>
        <v>CP11TT 60° Flat Fan</v>
      </c>
      <c r="B41">
        <v>0</v>
      </c>
      <c r="C41">
        <v>1</v>
      </c>
      <c r="D41">
        <v>150</v>
      </c>
      <c r="E41">
        <v>30</v>
      </c>
      <c r="F41">
        <v>45</v>
      </c>
      <c r="G41">
        <v>15</v>
      </c>
      <c r="H41">
        <v>45</v>
      </c>
      <c r="I41">
        <v>45</v>
      </c>
    </row>
    <row r="42" spans="1:9">
      <c r="A42" s="100" t="str">
        <f>A15</f>
        <v>TeeJet SS</v>
      </c>
      <c r="B42">
        <v>11</v>
      </c>
      <c r="C42">
        <v>9</v>
      </c>
      <c r="D42">
        <v>153</v>
      </c>
      <c r="E42">
        <v>33</v>
      </c>
      <c r="F42">
        <v>58</v>
      </c>
      <c r="G42">
        <v>35</v>
      </c>
      <c r="H42">
        <v>0</v>
      </c>
      <c r="I42">
        <v>1</v>
      </c>
    </row>
    <row r="43" spans="1:9">
      <c r="A43" s="100" t="str">
        <f t="shared" ref="A43" si="2">A16</f>
        <v>TeeJet H1 4U</v>
      </c>
      <c r="B43">
        <v>11</v>
      </c>
      <c r="C43">
        <v>9</v>
      </c>
      <c r="D43">
        <v>150.5</v>
      </c>
      <c r="E43">
        <v>30.5</v>
      </c>
      <c r="F43">
        <v>59.5</v>
      </c>
      <c r="G43">
        <v>32.5</v>
      </c>
      <c r="H43">
        <v>0</v>
      </c>
      <c r="I43">
        <v>1</v>
      </c>
    </row>
    <row r="55" spans="1:16" ht="14" thickBot="1">
      <c r="C55">
        <v>1</v>
      </c>
      <c r="D55">
        <v>2</v>
      </c>
      <c r="E55">
        <v>3</v>
      </c>
      <c r="F55">
        <v>4</v>
      </c>
      <c r="G55">
        <v>5</v>
      </c>
      <c r="H55">
        <v>6</v>
      </c>
      <c r="I55">
        <v>7</v>
      </c>
      <c r="J55">
        <v>8</v>
      </c>
      <c r="K55">
        <v>9</v>
      </c>
      <c r="L55">
        <v>10</v>
      </c>
      <c r="M55">
        <v>11</v>
      </c>
      <c r="N55">
        <v>12</v>
      </c>
      <c r="O55">
        <v>13</v>
      </c>
      <c r="P55">
        <v>14</v>
      </c>
    </row>
    <row r="56" spans="1:16" ht="12.75" customHeight="1" thickBot="1">
      <c r="A56" s="36" t="s">
        <v>24</v>
      </c>
      <c r="B56" s="102" t="s">
        <v>54</v>
      </c>
      <c r="C56" s="39" t="s">
        <v>28</v>
      </c>
      <c r="D56" s="39" t="s">
        <v>30</v>
      </c>
      <c r="E56" s="39" t="s">
        <v>36</v>
      </c>
      <c r="F56" s="39" t="s">
        <v>29</v>
      </c>
      <c r="G56" s="39" t="s">
        <v>56</v>
      </c>
      <c r="H56" s="39" t="s">
        <v>55</v>
      </c>
      <c r="I56" s="39" t="s">
        <v>57</v>
      </c>
      <c r="J56" s="39" t="s">
        <v>58</v>
      </c>
      <c r="K56" s="39" t="s">
        <v>59</v>
      </c>
      <c r="L56" s="39" t="s">
        <v>60</v>
      </c>
      <c r="M56" s="39" t="s">
        <v>61</v>
      </c>
      <c r="N56" s="39" t="s">
        <v>62</v>
      </c>
      <c r="O56" s="39" t="s">
        <v>63</v>
      </c>
      <c r="P56" s="40" t="s">
        <v>64</v>
      </c>
    </row>
    <row r="57" spans="1:16" ht="12.75" customHeight="1">
      <c r="A57" s="100" t="str">
        <f>A2</f>
        <v>CP11TT 20° Flat Fan</v>
      </c>
      <c r="B57">
        <v>87.494915254000006</v>
      </c>
      <c r="C57">
        <v>14.505555555999999</v>
      </c>
      <c r="D57">
        <v>-28.455555560000001</v>
      </c>
      <c r="E57">
        <v>6.2888888888999999</v>
      </c>
      <c r="F57">
        <v>-49.25</v>
      </c>
      <c r="G57">
        <v>-6.1124999999999998</v>
      </c>
      <c r="H57">
        <v>3.3125</v>
      </c>
      <c r="I57">
        <v>1.9125000000000001</v>
      </c>
      <c r="J57">
        <v>-4.55</v>
      </c>
      <c r="K57">
        <v>14.6</v>
      </c>
      <c r="L57">
        <v>-6.125</v>
      </c>
      <c r="M57">
        <v>-4.8274011300000002</v>
      </c>
      <c r="N57">
        <v>4.8225988701000002</v>
      </c>
      <c r="O57">
        <v>0.92259887009999997</v>
      </c>
      <c r="P57">
        <v>15.67259887</v>
      </c>
    </row>
    <row r="58" spans="1:16" ht="12.75" customHeight="1">
      <c r="A58" s="100" t="str">
        <f t="shared" ref="A58:A71" si="3">A3</f>
        <v>CP11TT 40° Flat Fan</v>
      </c>
      <c r="B58">
        <v>82.848660331000005</v>
      </c>
      <c r="C58">
        <v>9.8470925900000008</v>
      </c>
      <c r="D58">
        <v>-24.893109809999999</v>
      </c>
      <c r="E58">
        <v>2.0624830852999998</v>
      </c>
      <c r="F58">
        <v>-42.54191849</v>
      </c>
      <c r="G58">
        <v>-5.9810071469999997</v>
      </c>
      <c r="H58">
        <v>3.2890939418</v>
      </c>
      <c r="I58">
        <v>-5.9645835000000001E-2</v>
      </c>
      <c r="J58">
        <v>-3.6189820880000001</v>
      </c>
      <c r="K58">
        <v>16.889645830999999</v>
      </c>
      <c r="L58">
        <v>-7.7539374990000001</v>
      </c>
      <c r="M58">
        <v>-7.5746782230000003</v>
      </c>
      <c r="N58">
        <v>3.0292081080000002</v>
      </c>
      <c r="O58">
        <v>0.23637475799999999</v>
      </c>
      <c r="P58">
        <v>16.876541422999999</v>
      </c>
    </row>
    <row r="59" spans="1:16" ht="12.75" customHeight="1">
      <c r="A59" s="100" t="str">
        <f t="shared" si="3"/>
        <v>CP11TT 80° Flat Fan</v>
      </c>
      <c r="B59">
        <v>80.391078098999998</v>
      </c>
      <c r="C59">
        <v>15.380074073999999</v>
      </c>
      <c r="D59">
        <v>-19.140143250000001</v>
      </c>
      <c r="E59">
        <v>5.6695668000000003E-3</v>
      </c>
      <c r="F59">
        <v>-24.757709250000001</v>
      </c>
      <c r="G59">
        <v>-7.0297159599999999</v>
      </c>
      <c r="H59">
        <v>1.7830325254999999</v>
      </c>
      <c r="I59">
        <v>0.38225000440000001</v>
      </c>
      <c r="J59">
        <v>-8.5850326730000006</v>
      </c>
      <c r="K59">
        <v>7.8308749993999998</v>
      </c>
      <c r="L59">
        <v>-2.382166663</v>
      </c>
      <c r="M59">
        <v>-13.023198620000001</v>
      </c>
      <c r="N59">
        <v>2.7539896355</v>
      </c>
      <c r="O59">
        <v>-0.80151034399999999</v>
      </c>
      <c r="P59">
        <v>9.3966563005000001</v>
      </c>
    </row>
    <row r="60" spans="1:16" ht="12.75" customHeight="1">
      <c r="A60" s="100" t="str">
        <f t="shared" si="3"/>
        <v>CP03</v>
      </c>
      <c r="B60">
        <v>82.877201228000004</v>
      </c>
      <c r="C60">
        <v>3.2460531717999999</v>
      </c>
      <c r="D60">
        <v>-22.571928440000001</v>
      </c>
      <c r="E60">
        <v>-1.953681671</v>
      </c>
      <c r="F60">
        <v>-15.812452260000001</v>
      </c>
      <c r="G60">
        <v>-2.540138834</v>
      </c>
      <c r="H60">
        <v>1.4491383927000001</v>
      </c>
      <c r="I60">
        <v>1.2688852088</v>
      </c>
      <c r="J60">
        <v>0.59784312900000003</v>
      </c>
      <c r="K60">
        <v>4.9491893465999999</v>
      </c>
      <c r="L60">
        <v>-1.7662515080000001</v>
      </c>
      <c r="M60">
        <v>5.1945823608000001</v>
      </c>
      <c r="N60">
        <v>2.5749497494</v>
      </c>
      <c r="O60">
        <v>0.56484177950000003</v>
      </c>
      <c r="P60">
        <v>-5.3321824480000002</v>
      </c>
    </row>
    <row r="61" spans="1:16" ht="12.75" customHeight="1">
      <c r="A61" s="100" t="str">
        <f t="shared" si="3"/>
        <v>Steel Disc Core 45</v>
      </c>
      <c r="B61">
        <v>71.079884258000007</v>
      </c>
      <c r="C61">
        <v>6.4082777782999996</v>
      </c>
      <c r="D61">
        <v>-17.777817590000002</v>
      </c>
      <c r="E61">
        <v>-0.98415714499999996</v>
      </c>
      <c r="F61">
        <v>-8.4957730950000006</v>
      </c>
      <c r="G61">
        <v>-4.1465082009999996</v>
      </c>
      <c r="H61">
        <v>0.83243316479999996</v>
      </c>
      <c r="I61">
        <v>1.1640416675</v>
      </c>
      <c r="J61">
        <v>0.37712830060000002</v>
      </c>
      <c r="K61">
        <v>-1.0905</v>
      </c>
      <c r="L61">
        <v>-1.5370416659999999</v>
      </c>
      <c r="M61">
        <v>-2.4764746529999999</v>
      </c>
      <c r="N61">
        <v>3.6690338955000001</v>
      </c>
      <c r="O61">
        <v>-0.67229943400000003</v>
      </c>
      <c r="P61">
        <v>-3.4717994339999998</v>
      </c>
    </row>
    <row r="62" spans="1:16" ht="12.75" customHeight="1">
      <c r="A62" s="100" t="str">
        <f t="shared" si="3"/>
        <v>Ceramic Disc Core 45</v>
      </c>
      <c r="B62">
        <v>71.184694915999998</v>
      </c>
      <c r="C62">
        <v>10.061814816</v>
      </c>
      <c r="D62">
        <v>-17.170314820000002</v>
      </c>
      <c r="E62">
        <v>0.82242592439999995</v>
      </c>
      <c r="F62">
        <v>-12.48901852</v>
      </c>
      <c r="G62">
        <v>-6.5178541680000004</v>
      </c>
      <c r="H62">
        <v>-1.728770836</v>
      </c>
      <c r="I62">
        <v>1.8056875019</v>
      </c>
      <c r="J62">
        <v>-1.596854169</v>
      </c>
      <c r="K62">
        <v>1.0687708356000001</v>
      </c>
      <c r="L62">
        <v>0.83968750309999995</v>
      </c>
      <c r="M62">
        <v>-1.456199622</v>
      </c>
      <c r="N62">
        <v>3.1029670427</v>
      </c>
      <c r="O62">
        <v>-2.1966996220000001</v>
      </c>
      <c r="P62">
        <v>0.36696704270000002</v>
      </c>
    </row>
    <row r="63" spans="1:16" ht="12.75" customHeight="1">
      <c r="A63" s="100" t="str">
        <f t="shared" si="3"/>
        <v>Standard 40° Flat Fan</v>
      </c>
      <c r="B63">
        <v>85.604962314000005</v>
      </c>
      <c r="C63">
        <v>9.5838055571999998</v>
      </c>
      <c r="D63">
        <v>-22.16106126</v>
      </c>
      <c r="E63">
        <v>-0.56746907899999999</v>
      </c>
      <c r="F63">
        <v>-38.673677099999999</v>
      </c>
      <c r="G63">
        <v>-6.5188862460000001</v>
      </c>
      <c r="H63">
        <v>2.0607291963000001</v>
      </c>
      <c r="I63">
        <v>4.1763437519000002</v>
      </c>
      <c r="J63">
        <v>-1.110815476</v>
      </c>
      <c r="K63">
        <v>10.960260411</v>
      </c>
      <c r="L63">
        <v>-2.9471979190000002</v>
      </c>
      <c r="M63">
        <v>-6.716207603</v>
      </c>
      <c r="N63">
        <v>0.1304496168</v>
      </c>
      <c r="O63">
        <v>-2.8350503680000001</v>
      </c>
      <c r="P63">
        <v>14.278949617</v>
      </c>
    </row>
    <row r="64" spans="1:16" ht="12.75" customHeight="1">
      <c r="A64" s="100" t="str">
        <f t="shared" si="3"/>
        <v>Standard 80° Flat Fan</v>
      </c>
      <c r="B64">
        <v>80.832058699000001</v>
      </c>
      <c r="C64">
        <v>9.1461851856000003</v>
      </c>
      <c r="D64">
        <v>-17.193490409999999</v>
      </c>
      <c r="E64">
        <v>-1.663129579</v>
      </c>
      <c r="F64">
        <v>-29.163700800000001</v>
      </c>
      <c r="G64">
        <v>-6.2031256849999998</v>
      </c>
      <c r="H64">
        <v>1.1153396083</v>
      </c>
      <c r="I64">
        <v>2.2329583337000001</v>
      </c>
      <c r="J64">
        <v>-3.0049678000000002</v>
      </c>
      <c r="K64">
        <v>7.0658333300000002</v>
      </c>
      <c r="L64">
        <v>-1.683041666</v>
      </c>
      <c r="M64">
        <v>-6.3633298849999997</v>
      </c>
      <c r="N64">
        <v>0.91810169070000003</v>
      </c>
      <c r="O64">
        <v>-4.6213983040000004</v>
      </c>
      <c r="P64">
        <v>7.9517683607</v>
      </c>
    </row>
    <row r="65" spans="1:28" ht="12.75" customHeight="1">
      <c r="A65" s="100" t="str">
        <f t="shared" si="3"/>
        <v>CP09</v>
      </c>
      <c r="B65">
        <v>62.275938267999997</v>
      </c>
      <c r="C65">
        <v>-5.0615938390000004</v>
      </c>
      <c r="D65">
        <v>-41.384938529999999</v>
      </c>
      <c r="E65">
        <v>11.461160907</v>
      </c>
      <c r="F65">
        <v>-37.45180122</v>
      </c>
      <c r="G65">
        <v>4.9437584213000001</v>
      </c>
      <c r="H65">
        <v>-11.39164729</v>
      </c>
      <c r="I65">
        <v>-13.51023316</v>
      </c>
      <c r="J65">
        <v>10.83256967</v>
      </c>
      <c r="K65">
        <v>14.034214540000001</v>
      </c>
      <c r="L65">
        <v>-10.240105570000001</v>
      </c>
      <c r="M65">
        <v>-2.7580769260000002</v>
      </c>
      <c r="N65">
        <v>14.044497467999999</v>
      </c>
      <c r="O65">
        <v>3.5972472764000001</v>
      </c>
      <c r="P65">
        <v>54.385405906999999</v>
      </c>
    </row>
    <row r="66" spans="1:28" ht="12.75" customHeight="1">
      <c r="A66" s="100" t="str">
        <f t="shared" si="3"/>
        <v>CP11TT Straight Stream</v>
      </c>
      <c r="B66">
        <v>119.45347458000001</v>
      </c>
      <c r="C66">
        <v>-10.187185189999999</v>
      </c>
      <c r="D66">
        <v>-54.719666670000002</v>
      </c>
      <c r="E66">
        <v>21.508518518999999</v>
      </c>
      <c r="F66">
        <v>-52.89233333</v>
      </c>
      <c r="G66">
        <v>3.4273333333</v>
      </c>
      <c r="H66">
        <v>-1.829166667</v>
      </c>
      <c r="I66">
        <v>-12.08825</v>
      </c>
      <c r="J66">
        <v>14.614958333000001</v>
      </c>
      <c r="K66">
        <v>28.336208332999998</v>
      </c>
      <c r="L66">
        <v>-20.24145833</v>
      </c>
      <c r="M66">
        <v>3.7447796609999999</v>
      </c>
      <c r="N66">
        <v>15.786779661000001</v>
      </c>
      <c r="O66">
        <v>0.98177966100000003</v>
      </c>
      <c r="P66">
        <v>7.3041129943999996</v>
      </c>
    </row>
    <row r="67" spans="1:28" ht="12.75" customHeight="1">
      <c r="A67" s="100" t="str">
        <f t="shared" si="3"/>
        <v>Disc Core Straight Stream</v>
      </c>
      <c r="B67">
        <v>127.19018078000001</v>
      </c>
      <c r="C67">
        <v>-13.25509259</v>
      </c>
      <c r="D67">
        <v>-57.612962969999998</v>
      </c>
      <c r="E67">
        <v>17.342740738</v>
      </c>
      <c r="F67">
        <v>-56.943574069999997</v>
      </c>
      <c r="G67">
        <v>6.3485624999999999</v>
      </c>
      <c r="H67">
        <v>-3.402020834</v>
      </c>
      <c r="I67">
        <v>-9.1231875010000003</v>
      </c>
      <c r="J67">
        <v>23.840479163000001</v>
      </c>
      <c r="K67">
        <v>33.349645838000001</v>
      </c>
      <c r="L67">
        <v>-16.267354170000001</v>
      </c>
      <c r="M67">
        <v>-16.081821999999999</v>
      </c>
      <c r="N67">
        <v>16.305011301</v>
      </c>
      <c r="O67">
        <v>2.3866779510999998</v>
      </c>
      <c r="P67">
        <v>17.420177950999999</v>
      </c>
    </row>
    <row r="68" spans="1:28" ht="12.75" customHeight="1">
      <c r="A68" s="100" t="str">
        <f t="shared" si="3"/>
        <v>Davidon TriSet</v>
      </c>
      <c r="B68">
        <v>102.54350049999999</v>
      </c>
      <c r="C68">
        <v>-7.7112448870000003</v>
      </c>
      <c r="D68">
        <v>-58.016041569999999</v>
      </c>
      <c r="E68">
        <v>26.944618909999999</v>
      </c>
      <c r="F68">
        <v>-67.510260869999996</v>
      </c>
      <c r="G68">
        <v>-0.98601073900000002</v>
      </c>
      <c r="H68">
        <v>20.201801033999999</v>
      </c>
      <c r="I68">
        <v>-18.1157006</v>
      </c>
      <c r="J68">
        <v>4.3086751905999998</v>
      </c>
      <c r="K68">
        <v>45.409260551000003</v>
      </c>
      <c r="L68">
        <v>-30.80488274</v>
      </c>
      <c r="M68">
        <v>2.7622827830999999</v>
      </c>
      <c r="N68">
        <v>13.101688969</v>
      </c>
      <c r="O68">
        <v>-0.32063936700000001</v>
      </c>
      <c r="P68">
        <v>30.567855634000001</v>
      </c>
    </row>
    <row r="69" spans="1:28" ht="12.75" customHeight="1">
      <c r="A69" s="100" t="str">
        <f t="shared" si="3"/>
        <v>CP11TT 60° Flat Fan</v>
      </c>
      <c r="B69">
        <v>75.652333333000001</v>
      </c>
      <c r="C69">
        <v>0</v>
      </c>
      <c r="D69">
        <v>-28.418858329999999</v>
      </c>
      <c r="E69">
        <v>1.0641750000000001</v>
      </c>
      <c r="F69">
        <v>-26.52804167</v>
      </c>
      <c r="G69">
        <v>0</v>
      </c>
      <c r="H69">
        <v>0</v>
      </c>
      <c r="I69">
        <v>-1.3158624999999999</v>
      </c>
      <c r="J69">
        <v>0</v>
      </c>
      <c r="K69">
        <v>11.885574999999999</v>
      </c>
      <c r="L69">
        <v>-1.856304167</v>
      </c>
      <c r="M69">
        <v>0</v>
      </c>
      <c r="N69">
        <v>2.3082875</v>
      </c>
      <c r="O69">
        <v>-6.9483332999999994E-2</v>
      </c>
      <c r="P69">
        <v>11.743287499999999</v>
      </c>
    </row>
    <row r="70" spans="1:28" ht="12.75" customHeight="1">
      <c r="A70" s="100" t="str">
        <f t="shared" si="3"/>
        <v>TeeJet SS</v>
      </c>
      <c r="B70">
        <v>167.61828440565901</v>
      </c>
      <c r="C70">
        <v>-10.4984517968544</v>
      </c>
      <c r="D70">
        <v>-125.388963883865</v>
      </c>
      <c r="E70">
        <v>49.7118255951831</v>
      </c>
      <c r="F70">
        <v>0</v>
      </c>
      <c r="G70">
        <v>13.318392298281999</v>
      </c>
      <c r="H70">
        <v>-9.4376185562385899</v>
      </c>
      <c r="I70">
        <v>-52.882576334308297</v>
      </c>
      <c r="J70">
        <v>0</v>
      </c>
      <c r="K70">
        <v>0</v>
      </c>
      <c r="L70">
        <v>0</v>
      </c>
      <c r="M70">
        <v>4.5908133905232997</v>
      </c>
      <c r="N70">
        <v>78.265559056639603</v>
      </c>
      <c r="O70">
        <v>-1.48141146188175</v>
      </c>
      <c r="P70">
        <v>0</v>
      </c>
    </row>
    <row r="71" spans="1:28" ht="12.75" customHeight="1">
      <c r="A71" s="100" t="str">
        <f t="shared" si="3"/>
        <v>TeeJet H1 4U</v>
      </c>
      <c r="B71">
        <v>175.437853461016</v>
      </c>
      <c r="C71">
        <v>-18.604492435082701</v>
      </c>
      <c r="D71">
        <v>-151.66774900489901</v>
      </c>
      <c r="E71">
        <v>70.556458262799694</v>
      </c>
      <c r="F71">
        <v>0</v>
      </c>
      <c r="G71">
        <v>2.7155700978615802</v>
      </c>
      <c r="H71">
        <v>-7.8762212419532496</v>
      </c>
      <c r="I71">
        <v>-74.253007909080907</v>
      </c>
      <c r="J71">
        <v>0</v>
      </c>
      <c r="K71">
        <v>0</v>
      </c>
      <c r="L71">
        <v>0</v>
      </c>
      <c r="M71">
        <v>13.647920648344201</v>
      </c>
      <c r="N71">
        <v>95.736095360620695</v>
      </c>
      <c r="O71">
        <v>3.3012443665850499</v>
      </c>
      <c r="P71">
        <v>0</v>
      </c>
    </row>
    <row r="72" spans="1:28" ht="12.75" customHeight="1">
      <c r="A72" s="30"/>
      <c r="P72" s="12"/>
    </row>
    <row r="73" spans="1:28" ht="12.75" customHeight="1">
      <c r="A73" s="30"/>
      <c r="P73" s="12"/>
    </row>
    <row r="74" spans="1:28" ht="12.75" customHeight="1">
      <c r="A74" s="30"/>
      <c r="P74" s="12"/>
    </row>
    <row r="75" spans="1:28" ht="12.75" customHeight="1" thickBot="1">
      <c r="A75" s="31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4"/>
    </row>
    <row r="76" spans="1:28" s="7" customFormat="1" ht="12.75" customHeight="1" thickBot="1">
      <c r="A76" s="37"/>
    </row>
    <row r="77" spans="1:28" s="7" customFormat="1" ht="16" thickBot="1">
      <c r="A77" s="38" t="s">
        <v>25</v>
      </c>
      <c r="B77" s="102" t="s">
        <v>54</v>
      </c>
      <c r="C77" s="39" t="s">
        <v>28</v>
      </c>
      <c r="D77" s="39" t="s">
        <v>30</v>
      </c>
      <c r="E77" s="39" t="s">
        <v>36</v>
      </c>
      <c r="F77" s="39" t="s">
        <v>29</v>
      </c>
      <c r="G77" s="39" t="s">
        <v>56</v>
      </c>
      <c r="H77" s="39" t="s">
        <v>55</v>
      </c>
      <c r="I77" s="39" t="s">
        <v>57</v>
      </c>
      <c r="J77" s="39" t="s">
        <v>58</v>
      </c>
      <c r="K77" s="39" t="s">
        <v>59</v>
      </c>
      <c r="L77" s="39" t="s">
        <v>60</v>
      </c>
      <c r="M77" s="39" t="s">
        <v>61</v>
      </c>
      <c r="N77" s="39" t="s">
        <v>62</v>
      </c>
      <c r="O77" s="39" t="s">
        <v>63</v>
      </c>
      <c r="P77" s="40" t="s">
        <v>64</v>
      </c>
    </row>
    <row r="78" spans="1:28" s="7" customFormat="1">
      <c r="A78" s="100" t="str">
        <f>A2</f>
        <v>CP11TT 20° Flat Fan</v>
      </c>
      <c r="B78">
        <v>217.38305084999999</v>
      </c>
      <c r="C78">
        <v>34.122222221999998</v>
      </c>
      <c r="D78">
        <v>-62.211111109999997</v>
      </c>
      <c r="E78">
        <v>12.2</v>
      </c>
      <c r="F78">
        <v>-104.9611111</v>
      </c>
      <c r="G78">
        <v>-16.7</v>
      </c>
      <c r="H78">
        <v>8.9875000000000007</v>
      </c>
      <c r="I78">
        <v>1.5375000000000001</v>
      </c>
      <c r="J78">
        <v>-17.7</v>
      </c>
      <c r="K78">
        <v>35.774999999999999</v>
      </c>
      <c r="L78">
        <v>-20.737500000000001</v>
      </c>
      <c r="M78">
        <v>-6.3468926550000004</v>
      </c>
      <c r="N78">
        <v>13.253107345</v>
      </c>
      <c r="O78">
        <v>1.2531073446000001</v>
      </c>
      <c r="P78">
        <v>28.403107344999999</v>
      </c>
    </row>
    <row r="79" spans="1:28" s="7" customFormat="1">
      <c r="A79" s="100" t="str">
        <f t="shared" ref="A79:A92" si="4">A3</f>
        <v>CP11TT 40° Flat Fan</v>
      </c>
      <c r="B79">
        <v>208.43403287000001</v>
      </c>
      <c r="C79">
        <v>30.961425935000001</v>
      </c>
      <c r="D79">
        <v>-57.697165130000002</v>
      </c>
      <c r="E79">
        <v>6.0939372790000004</v>
      </c>
      <c r="F79">
        <v>-93.133010709999994</v>
      </c>
      <c r="G79">
        <v>-16.711410489999999</v>
      </c>
      <c r="H79">
        <v>9.1006634914000006</v>
      </c>
      <c r="I79">
        <v>-0.34900000199999998</v>
      </c>
      <c r="J79">
        <v>-13.478376559999999</v>
      </c>
      <c r="K79">
        <v>33.788249997999998</v>
      </c>
      <c r="L79">
        <v>-18.142166660000001</v>
      </c>
      <c r="M79">
        <v>-20.366259800000002</v>
      </c>
      <c r="N79">
        <v>10.175744796</v>
      </c>
      <c r="O79">
        <v>-1.9590885039999999</v>
      </c>
      <c r="P79">
        <v>35.384744845999997</v>
      </c>
    </row>
    <row r="80" spans="1:28" s="7" customFormat="1">
      <c r="A80" s="100" t="str">
        <f t="shared" si="4"/>
        <v>CP11TT 80° Flat Fan</v>
      </c>
      <c r="B80">
        <v>198.73514287</v>
      </c>
      <c r="C80">
        <v>40.907833334999999</v>
      </c>
      <c r="D80">
        <v>-41.15219441</v>
      </c>
      <c r="E80">
        <v>0.27029172359999998</v>
      </c>
      <c r="F80">
        <v>-53.593439250000003</v>
      </c>
      <c r="G80">
        <v>-16.124496529999998</v>
      </c>
      <c r="H80">
        <v>4.8200907634999997</v>
      </c>
      <c r="I80">
        <v>2.9197708268999998</v>
      </c>
      <c r="J80">
        <v>-21.86734512</v>
      </c>
      <c r="K80">
        <v>13.451437498000001</v>
      </c>
      <c r="L80">
        <v>-4.9291041729999998</v>
      </c>
      <c r="M80">
        <v>-29.747040269999999</v>
      </c>
      <c r="N80">
        <v>5.9512184928999998</v>
      </c>
      <c r="O80">
        <v>-2.7307815569999998</v>
      </c>
      <c r="P80">
        <v>17.852551793</v>
      </c>
      <c r="T80"/>
      <c r="U80"/>
      <c r="V80"/>
      <c r="W80"/>
      <c r="X80"/>
      <c r="Y80"/>
      <c r="Z80"/>
      <c r="AA80"/>
      <c r="AB80"/>
    </row>
    <row r="81" spans="1:28" s="7" customFormat="1">
      <c r="A81" s="100" t="str">
        <f t="shared" si="4"/>
        <v>CP03</v>
      </c>
      <c r="B81">
        <v>198.77925529999999</v>
      </c>
      <c r="C81" s="7">
        <v>16.367491422000001</v>
      </c>
      <c r="D81" s="7">
        <v>-52.6884686</v>
      </c>
      <c r="E81" s="7">
        <v>1.9102673149</v>
      </c>
      <c r="F81" s="7">
        <v>-35.600409980000002</v>
      </c>
      <c r="G81" s="7">
        <v>-8.4508384089999993</v>
      </c>
      <c r="H81" s="7">
        <v>2.8141469956999998</v>
      </c>
      <c r="I81" s="7">
        <v>-0.92612386800000002</v>
      </c>
      <c r="J81" s="7">
        <v>0.17243305519999999</v>
      </c>
      <c r="K81" s="7">
        <v>10.71232423</v>
      </c>
      <c r="L81" s="7">
        <v>-4.6576996829999997</v>
      </c>
      <c r="M81" s="7">
        <v>1.4505102004999999</v>
      </c>
      <c r="N81" s="7">
        <v>8.9316969544999996</v>
      </c>
      <c r="O81" s="7">
        <v>1.0120970241</v>
      </c>
      <c r="P81" s="7">
        <v>-3.840227246</v>
      </c>
    </row>
    <row r="82" spans="1:28" s="7" customFormat="1">
      <c r="A82" s="100" t="str">
        <f t="shared" si="4"/>
        <v>Steel Disc Core 45</v>
      </c>
      <c r="B82">
        <v>179.45388348</v>
      </c>
      <c r="C82">
        <v>23.301574086999999</v>
      </c>
      <c r="D82">
        <v>-35.55823255</v>
      </c>
      <c r="E82">
        <v>-2.027162809</v>
      </c>
      <c r="F82">
        <v>-18.690193539999999</v>
      </c>
      <c r="G82">
        <v>-11.821317970000001</v>
      </c>
      <c r="H82">
        <v>-0.55392316500000005</v>
      </c>
      <c r="I82">
        <v>3.4291458438000002</v>
      </c>
      <c r="J82">
        <v>3.7223074030999999</v>
      </c>
      <c r="K82">
        <v>-0.28939583499999999</v>
      </c>
      <c r="L82">
        <v>-2.1973958310000001</v>
      </c>
      <c r="M82">
        <v>-14.565854290000001</v>
      </c>
      <c r="N82">
        <v>4.3920376415</v>
      </c>
      <c r="O82">
        <v>-0.89796230899999996</v>
      </c>
      <c r="P82">
        <v>-8.3191290089999992</v>
      </c>
    </row>
    <row r="83" spans="1:28" s="7" customFormat="1">
      <c r="A83" s="100" t="str">
        <f t="shared" si="4"/>
        <v>Ceramic Disc Core 45</v>
      </c>
      <c r="B83">
        <v>176.94510733000001</v>
      </c>
      <c r="C83">
        <v>27.351351867999998</v>
      </c>
      <c r="D83">
        <v>-37.03585185</v>
      </c>
      <c r="E83">
        <v>1.7993148128000001</v>
      </c>
      <c r="F83">
        <v>-27.829370359999999</v>
      </c>
      <c r="G83">
        <v>-13.512833329999999</v>
      </c>
      <c r="H83">
        <v>-3.0333750080000002</v>
      </c>
      <c r="I83">
        <v>4.5241249956000003</v>
      </c>
      <c r="J83">
        <v>-3.7212500039999998</v>
      </c>
      <c r="K83">
        <v>1.5206666669</v>
      </c>
      <c r="L83">
        <v>1.3641249955999999</v>
      </c>
      <c r="M83">
        <v>-10.71856968</v>
      </c>
      <c r="N83">
        <v>4.0172636657999998</v>
      </c>
      <c r="O83">
        <v>-3.990569684</v>
      </c>
      <c r="P83">
        <v>-0.365736334</v>
      </c>
    </row>
    <row r="84" spans="1:28" s="7" customFormat="1">
      <c r="A84" s="100" t="str">
        <f t="shared" si="4"/>
        <v>Standard 40° Flat Fan</v>
      </c>
      <c r="B84">
        <v>223.09979292</v>
      </c>
      <c r="C84">
        <v>39.613916668000002</v>
      </c>
      <c r="D84">
        <v>-52.048733939999998</v>
      </c>
      <c r="E84">
        <v>2.7981742856</v>
      </c>
      <c r="F84">
        <v>-80.800582890000001</v>
      </c>
      <c r="G84">
        <v>-18.293641780000002</v>
      </c>
      <c r="H84">
        <v>3.1661266778999999</v>
      </c>
      <c r="I84">
        <v>6.7144687519000001</v>
      </c>
      <c r="J84">
        <v>-11.79494423</v>
      </c>
      <c r="K84">
        <v>20.869218748000002</v>
      </c>
      <c r="L84">
        <v>-9.8551979230000004</v>
      </c>
      <c r="M84">
        <v>-27.791864919999998</v>
      </c>
      <c r="N84">
        <v>3.3159957375000002</v>
      </c>
      <c r="O84">
        <v>-7.1113375620000001</v>
      </c>
      <c r="P84">
        <v>24.209829087999999</v>
      </c>
    </row>
    <row r="85" spans="1:28" s="7" customFormat="1">
      <c r="A85" s="100" t="str">
        <f t="shared" si="4"/>
        <v>Standard 80° Flat Fan</v>
      </c>
      <c r="B85">
        <v>206.79402132999999</v>
      </c>
      <c r="C85">
        <v>36.078703707000003</v>
      </c>
      <c r="D85">
        <v>-40.268132860000001</v>
      </c>
      <c r="E85">
        <v>-2.2977066580000001</v>
      </c>
      <c r="F85">
        <v>-60.082646310000001</v>
      </c>
      <c r="G85">
        <v>-15.153072359999999</v>
      </c>
      <c r="H85">
        <v>2.6012930438000001</v>
      </c>
      <c r="I85">
        <v>6.3497708418999999</v>
      </c>
      <c r="J85">
        <v>-13.82010116</v>
      </c>
      <c r="K85">
        <v>12.069479154</v>
      </c>
      <c r="L85">
        <v>-4.9169791710000004</v>
      </c>
      <c r="M85">
        <v>-27.619252960000001</v>
      </c>
      <c r="N85">
        <v>5.3175452100999996</v>
      </c>
      <c r="O85">
        <v>-8.3007881399999999</v>
      </c>
      <c r="P85">
        <v>12.740711859999999</v>
      </c>
    </row>
    <row r="86" spans="1:28" s="7" customFormat="1" ht="13.5" customHeight="1">
      <c r="A86" s="100" t="str">
        <f t="shared" si="4"/>
        <v>CP09</v>
      </c>
      <c r="B86">
        <v>109.20698622</v>
      </c>
      <c r="C86">
        <v>-10.94659487</v>
      </c>
      <c r="D86">
        <v>-112.5253385</v>
      </c>
      <c r="E86">
        <v>44.397913062999997</v>
      </c>
      <c r="F86">
        <v>-114.8312667</v>
      </c>
      <c r="G86">
        <v>18.040915935000001</v>
      </c>
      <c r="H86">
        <v>-38.107775429999997</v>
      </c>
      <c r="I86">
        <v>-48.831689599999997</v>
      </c>
      <c r="J86">
        <v>27.667624324999998</v>
      </c>
      <c r="K86">
        <v>41.800159792999999</v>
      </c>
      <c r="L86">
        <v>-32.802249089999997</v>
      </c>
      <c r="M86">
        <v>-12.36069891</v>
      </c>
      <c r="N86">
        <v>43.648151046999999</v>
      </c>
      <c r="O86">
        <v>13.788941252000001</v>
      </c>
      <c r="P86">
        <v>190.57346423000001</v>
      </c>
    </row>
    <row r="87" spans="1:28" s="7" customFormat="1">
      <c r="A87" s="100" t="str">
        <f t="shared" si="4"/>
        <v>CP11TT Straight Stream</v>
      </c>
      <c r="B87">
        <v>291.09035311000002</v>
      </c>
      <c r="C87">
        <v>-14.87280556</v>
      </c>
      <c r="D87">
        <v>-127.54806480000001</v>
      </c>
      <c r="E87">
        <v>59.550120370000002</v>
      </c>
      <c r="F87">
        <v>-123.687713</v>
      </c>
      <c r="G87">
        <v>7.43434375</v>
      </c>
      <c r="H87">
        <v>-8.5687395829999993</v>
      </c>
      <c r="I87">
        <v>-37.510927080000002</v>
      </c>
      <c r="J87">
        <v>27.652302082999999</v>
      </c>
      <c r="K87">
        <v>64.702447917000001</v>
      </c>
      <c r="L87">
        <v>-53.626302080000002</v>
      </c>
      <c r="M87">
        <v>7.1775324858999996</v>
      </c>
      <c r="N87">
        <v>39.118699153000001</v>
      </c>
      <c r="O87">
        <v>2.8443658192000001</v>
      </c>
      <c r="P87">
        <v>18.815199152999998</v>
      </c>
    </row>
    <row r="88" spans="1:28" s="7" customFormat="1">
      <c r="A88" s="100" t="str">
        <f t="shared" si="4"/>
        <v>Disc Core Straight Stream</v>
      </c>
      <c r="B88">
        <v>316.82802822999997</v>
      </c>
      <c r="C88">
        <v>-18.516666669999999</v>
      </c>
      <c r="D88">
        <v>-131.23861110000001</v>
      </c>
      <c r="E88">
        <v>46.8677037</v>
      </c>
      <c r="F88">
        <v>-123.7915556</v>
      </c>
      <c r="G88">
        <v>11.724083338</v>
      </c>
      <c r="H88">
        <v>-9.7309999999999999</v>
      </c>
      <c r="I88">
        <v>-26.868291679999999</v>
      </c>
      <c r="J88">
        <v>39.621541663000002</v>
      </c>
      <c r="K88">
        <v>68.337416662999999</v>
      </c>
      <c r="L88">
        <v>-39.459083329999999</v>
      </c>
      <c r="M88">
        <v>-34.770310719999998</v>
      </c>
      <c r="N88">
        <v>37.875855928999997</v>
      </c>
      <c r="O88">
        <v>1.0886892791</v>
      </c>
      <c r="P88">
        <v>34.036355929000003</v>
      </c>
    </row>
    <row r="89" spans="1:28" s="7" customFormat="1">
      <c r="A89" s="100" t="str">
        <f t="shared" si="4"/>
        <v>Davidon TriSet</v>
      </c>
      <c r="B89">
        <v>242.74261408999999</v>
      </c>
      <c r="C89">
        <v>-4.4282749490000004</v>
      </c>
      <c r="D89">
        <v>-134.31287119999999</v>
      </c>
      <c r="E89">
        <v>74.368059006999999</v>
      </c>
      <c r="F89">
        <v>-167.4649469</v>
      </c>
      <c r="G89">
        <v>-8.1496706789999998</v>
      </c>
      <c r="H89">
        <v>55.851754954</v>
      </c>
      <c r="I89">
        <v>-47.417694840000003</v>
      </c>
      <c r="J89">
        <v>5.6828734477999996</v>
      </c>
      <c r="K89">
        <v>105.09984935999999</v>
      </c>
      <c r="L89">
        <v>-82.379888589999993</v>
      </c>
      <c r="M89">
        <v>-3.7091940189999999</v>
      </c>
      <c r="N89">
        <v>30.620968771000001</v>
      </c>
      <c r="O89">
        <v>2.6140818930999998</v>
      </c>
      <c r="P89">
        <v>92.303635370999999</v>
      </c>
    </row>
    <row r="90" spans="1:28" s="7" customFormat="1">
      <c r="A90" s="100" t="str">
        <f t="shared" si="4"/>
        <v>CP11TT 60° Flat Fan</v>
      </c>
      <c r="B90">
        <v>187.66</v>
      </c>
      <c r="C90">
        <v>0</v>
      </c>
      <c r="D90">
        <v>-62.628900000000002</v>
      </c>
      <c r="E90">
        <v>2.7915000000000001</v>
      </c>
      <c r="F90">
        <v>-61.240900000000003</v>
      </c>
      <c r="G90">
        <v>0</v>
      </c>
      <c r="H90">
        <v>0</v>
      </c>
      <c r="I90">
        <v>-2.6969833329999999</v>
      </c>
      <c r="J90">
        <v>0</v>
      </c>
      <c r="K90" s="7">
        <v>26.700933332999998</v>
      </c>
      <c r="L90" s="7">
        <v>-5.9061833330000004</v>
      </c>
      <c r="M90">
        <v>0</v>
      </c>
      <c r="N90" s="7">
        <v>5.3273833333000002</v>
      </c>
      <c r="O90" s="7">
        <v>1.3803000000000001</v>
      </c>
      <c r="P90">
        <v>27.344216667000001</v>
      </c>
    </row>
    <row r="91" spans="1:28" s="7" customFormat="1">
      <c r="A91" s="100" t="str">
        <f t="shared" si="4"/>
        <v>TeeJet SS</v>
      </c>
      <c r="B91">
        <v>404.573766106937</v>
      </c>
      <c r="C91">
        <v>-5.0488126302450196</v>
      </c>
      <c r="D91">
        <v>-265.43756554348897</v>
      </c>
      <c r="E91">
        <v>102.864908311752</v>
      </c>
      <c r="F91">
        <v>0</v>
      </c>
      <c r="G91">
        <v>17.956842144421401</v>
      </c>
      <c r="H91">
        <v>-21.160706677971099</v>
      </c>
      <c r="I91">
        <v>-100.259798205726</v>
      </c>
      <c r="J91">
        <v>0</v>
      </c>
      <c r="K91">
        <v>0</v>
      </c>
      <c r="L91">
        <v>0</v>
      </c>
      <c r="M91">
        <v>-1.3739823882621001</v>
      </c>
      <c r="N91">
        <v>163.24393983569601</v>
      </c>
      <c r="O91">
        <v>-10.6237390716259</v>
      </c>
      <c r="P91">
        <v>0</v>
      </c>
    </row>
    <row r="92" spans="1:28" s="7" customFormat="1">
      <c r="A92" s="100" t="str">
        <f t="shared" si="4"/>
        <v>TeeJet H1 4U</v>
      </c>
      <c r="B92">
        <v>428.62194659184001</v>
      </c>
      <c r="C92">
        <v>-10.1350094433009</v>
      </c>
      <c r="D92">
        <v>-311.376545850333</v>
      </c>
      <c r="E92">
        <v>145.917638911788</v>
      </c>
      <c r="F92">
        <v>0</v>
      </c>
      <c r="G92">
        <v>-6.0388031276306897</v>
      </c>
      <c r="H92">
        <v>-13.151177708373099</v>
      </c>
      <c r="I92">
        <v>-144.18533920162</v>
      </c>
      <c r="J92">
        <v>0</v>
      </c>
      <c r="K92">
        <v>0</v>
      </c>
      <c r="L92">
        <v>0</v>
      </c>
      <c r="M92">
        <v>3.2117709467689299</v>
      </c>
      <c r="N92">
        <v>200.46559033173099</v>
      </c>
      <c r="O92">
        <v>-5.5733322845353896</v>
      </c>
      <c r="P92">
        <v>0</v>
      </c>
    </row>
    <row r="93" spans="1:28" s="7" customFormat="1" ht="14">
      <c r="A93" s="41"/>
      <c r="P93" s="42"/>
    </row>
    <row r="94" spans="1:28" s="7" customFormat="1" ht="14">
      <c r="A94" s="41"/>
      <c r="P94" s="42"/>
    </row>
    <row r="95" spans="1:28" s="7" customFormat="1" ht="15" customHeight="1">
      <c r="A95" s="41"/>
      <c r="P95" s="42"/>
    </row>
    <row r="96" spans="1:28" s="7" customFormat="1" ht="15" thickBot="1">
      <c r="A96" s="43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5"/>
      <c r="T96"/>
      <c r="U96"/>
      <c r="V96"/>
      <c r="W96"/>
      <c r="X96"/>
      <c r="Y96"/>
      <c r="Z96"/>
      <c r="AA96"/>
      <c r="AB96"/>
    </row>
    <row r="97" spans="1:24" s="7" customFormat="1" ht="14" thickBot="1">
      <c r="T97"/>
      <c r="U97"/>
      <c r="V97"/>
      <c r="W97"/>
      <c r="X97"/>
    </row>
    <row r="98" spans="1:24" s="7" customFormat="1" ht="16" thickBot="1">
      <c r="A98" s="38" t="s">
        <v>27</v>
      </c>
      <c r="B98" s="102" t="s">
        <v>54</v>
      </c>
      <c r="C98" s="39" t="s">
        <v>28</v>
      </c>
      <c r="D98" s="39" t="s">
        <v>30</v>
      </c>
      <c r="E98" s="39" t="s">
        <v>36</v>
      </c>
      <c r="F98" s="39" t="s">
        <v>29</v>
      </c>
      <c r="G98" s="39" t="s">
        <v>56</v>
      </c>
      <c r="H98" s="39" t="s">
        <v>55</v>
      </c>
      <c r="I98" s="39" t="s">
        <v>57</v>
      </c>
      <c r="J98" s="39" t="s">
        <v>58</v>
      </c>
      <c r="K98" s="39" t="s">
        <v>59</v>
      </c>
      <c r="L98" s="39" t="s">
        <v>60</v>
      </c>
      <c r="M98" s="39" t="s">
        <v>61</v>
      </c>
      <c r="N98" s="39" t="s">
        <v>62</v>
      </c>
      <c r="O98" s="39" t="s">
        <v>63</v>
      </c>
      <c r="P98" s="40" t="s">
        <v>64</v>
      </c>
      <c r="T98"/>
      <c r="U98"/>
      <c r="V98"/>
      <c r="W98"/>
    </row>
    <row r="99" spans="1:24" s="7" customFormat="1">
      <c r="A99" s="100" t="str">
        <f>A2</f>
        <v>CP11TT 20° Flat Fan</v>
      </c>
      <c r="B99">
        <v>382.35593219999998</v>
      </c>
      <c r="C99">
        <v>85.55</v>
      </c>
      <c r="D99">
        <v>-115.93888889999999</v>
      </c>
      <c r="E99">
        <v>26</v>
      </c>
      <c r="F99">
        <v>-213.82777780000001</v>
      </c>
      <c r="G99">
        <v>-28.037500000000001</v>
      </c>
      <c r="H99">
        <v>15.425000000000001</v>
      </c>
      <c r="I99">
        <v>0.5</v>
      </c>
      <c r="J99">
        <v>-52.487499999999997</v>
      </c>
      <c r="K99">
        <v>67.037499999999994</v>
      </c>
      <c r="L99">
        <v>-43.6</v>
      </c>
      <c r="M99">
        <v>-6.3652542370000003</v>
      </c>
      <c r="N99">
        <v>27.834745763000001</v>
      </c>
      <c r="O99">
        <v>5.1847457627000004</v>
      </c>
      <c r="P99">
        <v>63.434745763000002</v>
      </c>
      <c r="T99"/>
      <c r="U99"/>
      <c r="V99"/>
      <c r="W99"/>
    </row>
    <row r="100" spans="1:24" s="7" customFormat="1">
      <c r="A100" s="100" t="str">
        <f t="shared" ref="A100:A113" si="5">A3</f>
        <v>CP11TT 40° Flat Fan</v>
      </c>
      <c r="B100">
        <v>368.04124037000003</v>
      </c>
      <c r="C100">
        <v>82.723611133000006</v>
      </c>
      <c r="D100">
        <v>-106.52659939999999</v>
      </c>
      <c r="E100">
        <v>17.959243762</v>
      </c>
      <c r="F100">
        <v>-189.71599670000001</v>
      </c>
      <c r="G100">
        <v>-30.697729930000001</v>
      </c>
      <c r="H100">
        <v>21.624592331999999</v>
      </c>
      <c r="I100">
        <v>-8.8621875190000008</v>
      </c>
      <c r="J100">
        <v>-48.861389950000003</v>
      </c>
      <c r="K100">
        <v>60.522979180999997</v>
      </c>
      <c r="L100">
        <v>-41.84106251</v>
      </c>
      <c r="M100">
        <v>-38.302843969999998</v>
      </c>
      <c r="N100">
        <v>27.128274974</v>
      </c>
      <c r="O100">
        <v>-5.021058376</v>
      </c>
      <c r="P100">
        <v>79.432774973999997</v>
      </c>
      <c r="T100"/>
      <c r="U100"/>
      <c r="V100"/>
      <c r="W100"/>
    </row>
    <row r="101" spans="1:24" s="7" customFormat="1">
      <c r="A101" s="100" t="str">
        <f t="shared" si="5"/>
        <v>CP11TT 80° Flat Fan</v>
      </c>
      <c r="B101">
        <v>345.24311660000001</v>
      </c>
      <c r="C101">
        <v>87.858425917000005</v>
      </c>
      <c r="D101">
        <v>-66.271012670000005</v>
      </c>
      <c r="E101">
        <v>3.2715841731999999</v>
      </c>
      <c r="F101">
        <v>-110.8328236</v>
      </c>
      <c r="G101">
        <v>-23.32559582</v>
      </c>
      <c r="H101">
        <v>11.597938923999999</v>
      </c>
      <c r="I101">
        <v>12.210354175000001</v>
      </c>
      <c r="J101">
        <v>-52.552436710000002</v>
      </c>
      <c r="K101">
        <v>19.381437513000002</v>
      </c>
      <c r="L101">
        <v>-15.22756249</v>
      </c>
      <c r="M101">
        <v>-55.808079890000002</v>
      </c>
      <c r="N101">
        <v>8.0830904113000006</v>
      </c>
      <c r="O101">
        <v>-9.3177429390000004</v>
      </c>
      <c r="P101">
        <v>48.949757061</v>
      </c>
      <c r="T101"/>
      <c r="U101"/>
      <c r="V101"/>
      <c r="W101"/>
    </row>
    <row r="102" spans="1:24" s="7" customFormat="1">
      <c r="A102" s="100" t="str">
        <f t="shared" si="5"/>
        <v>CP03</v>
      </c>
      <c r="B102" s="7">
        <v>359.34207522999998</v>
      </c>
      <c r="C102" s="7">
        <v>50.517415518</v>
      </c>
      <c r="D102" s="7">
        <v>-109.3463618</v>
      </c>
      <c r="E102" s="7">
        <v>25.823960104000001</v>
      </c>
      <c r="F102" s="7">
        <v>-84.978190990000002</v>
      </c>
      <c r="G102" s="7">
        <v>-23.96242861</v>
      </c>
      <c r="H102" s="7">
        <v>4.1525234699000002</v>
      </c>
      <c r="I102" s="7">
        <v>-28.360837480000001</v>
      </c>
      <c r="J102" s="7">
        <v>5.8988553969000002</v>
      </c>
      <c r="K102" s="7">
        <v>18.742960233000002</v>
      </c>
      <c r="L102" s="7">
        <v>-7.8313380649999997</v>
      </c>
      <c r="M102" s="7">
        <v>-14.64847387</v>
      </c>
      <c r="N102" s="7">
        <v>29.248472138</v>
      </c>
      <c r="O102" s="7">
        <v>26.839737649</v>
      </c>
      <c r="P102" s="7">
        <v>-13.89836775</v>
      </c>
      <c r="T102"/>
      <c r="U102"/>
      <c r="V102"/>
      <c r="W102"/>
    </row>
    <row r="103" spans="1:24" s="7" customFormat="1">
      <c r="A103" s="100" t="str">
        <f t="shared" si="5"/>
        <v>Steel Disc Core 45</v>
      </c>
      <c r="B103">
        <v>350.50486188000002</v>
      </c>
      <c r="C103">
        <v>54.763425916999999</v>
      </c>
      <c r="D103">
        <v>-63.14502177</v>
      </c>
      <c r="E103">
        <v>-0.39051686899999999</v>
      </c>
      <c r="F103">
        <v>-21.394120189999999</v>
      </c>
      <c r="G103">
        <v>-23.709205229999998</v>
      </c>
      <c r="H103">
        <v>-0.51556307599999995</v>
      </c>
      <c r="I103">
        <v>5.0488541562</v>
      </c>
      <c r="J103">
        <v>18.212261220999999</v>
      </c>
      <c r="K103">
        <v>2.3433958437000002</v>
      </c>
      <c r="L103">
        <v>-2.641729169</v>
      </c>
      <c r="M103">
        <v>-34.522081270000001</v>
      </c>
      <c r="N103">
        <v>8.2467975612999993</v>
      </c>
      <c r="O103">
        <v>3.8306308613</v>
      </c>
      <c r="P103">
        <v>-44.758202439999998</v>
      </c>
      <c r="T103"/>
      <c r="U103"/>
      <c r="V103"/>
      <c r="W103"/>
    </row>
    <row r="104" spans="1:24" s="7" customFormat="1">
      <c r="A104" s="100" t="str">
        <f t="shared" si="5"/>
        <v>Ceramic Disc Core 45</v>
      </c>
      <c r="B104">
        <v>333.15811301000002</v>
      </c>
      <c r="C104">
        <v>57.961833343999999</v>
      </c>
      <c r="D104">
        <v>-69.994296289999994</v>
      </c>
      <c r="E104">
        <v>7.7273518556000003</v>
      </c>
      <c r="F104">
        <v>-47.544240739999999</v>
      </c>
      <c r="G104">
        <v>-29.893020839999998</v>
      </c>
      <c r="H104">
        <v>1.2960624999999999</v>
      </c>
      <c r="I104">
        <v>6.4148958374999996</v>
      </c>
      <c r="J104">
        <v>-4.0899375129999997</v>
      </c>
      <c r="K104">
        <v>4.5010624999999997</v>
      </c>
      <c r="L104">
        <v>1.0617291625</v>
      </c>
      <c r="M104">
        <v>-26.861520760000001</v>
      </c>
      <c r="N104">
        <v>9.0126459441000009</v>
      </c>
      <c r="O104">
        <v>1.0812644099999999E-2</v>
      </c>
      <c r="P104">
        <v>-27.203520709999999</v>
      </c>
      <c r="T104"/>
      <c r="U104"/>
      <c r="V104"/>
      <c r="W104"/>
    </row>
    <row r="105" spans="1:24" s="7" customFormat="1">
      <c r="A105" s="100" t="str">
        <f t="shared" si="5"/>
        <v>Standard 40° Flat Fan</v>
      </c>
      <c r="B105">
        <v>401.79046720000002</v>
      </c>
      <c r="C105">
        <v>95.066101844000002</v>
      </c>
      <c r="D105">
        <v>-86.99491956</v>
      </c>
      <c r="E105">
        <v>13.964785601999999</v>
      </c>
      <c r="F105">
        <v>-165.13959600000001</v>
      </c>
      <c r="G105">
        <v>-23.78403029</v>
      </c>
      <c r="H105">
        <v>8.1268211123</v>
      </c>
      <c r="I105">
        <v>14.574385413</v>
      </c>
      <c r="J105">
        <v>-41.665592109999999</v>
      </c>
      <c r="K105">
        <v>32.228968762000001</v>
      </c>
      <c r="L105">
        <v>-31.812322909999999</v>
      </c>
      <c r="M105">
        <v>-53.473723819999996</v>
      </c>
      <c r="N105">
        <v>0.54320384970000002</v>
      </c>
      <c r="O105">
        <v>-6.8031294500000001</v>
      </c>
      <c r="P105">
        <v>60.296370549999999</v>
      </c>
      <c r="T105"/>
      <c r="U105"/>
      <c r="V105"/>
      <c r="W105"/>
    </row>
    <row r="106" spans="1:24" s="7" customFormat="1">
      <c r="A106" s="100" t="str">
        <f t="shared" si="5"/>
        <v>Standard 80° Flat Fan</v>
      </c>
      <c r="B106">
        <v>370.77552377000001</v>
      </c>
      <c r="C106">
        <v>83.113740738999994</v>
      </c>
      <c r="D106">
        <v>-67.994614830000003</v>
      </c>
      <c r="E106">
        <v>-0.973534978</v>
      </c>
      <c r="F106">
        <v>-124.25462880000001</v>
      </c>
      <c r="G106">
        <v>-21.665469470000001</v>
      </c>
      <c r="H106">
        <v>4.6599265989000003</v>
      </c>
      <c r="I106">
        <v>14.216562494</v>
      </c>
      <c r="J106">
        <v>-42.088563720000003</v>
      </c>
      <c r="K106">
        <v>18.607354156</v>
      </c>
      <c r="L106">
        <v>-15.74427083</v>
      </c>
      <c r="M106">
        <v>-60.154898490000001</v>
      </c>
      <c r="N106">
        <v>13.00837662</v>
      </c>
      <c r="O106">
        <v>-18.22229003</v>
      </c>
      <c r="P106">
        <v>37.002709969999998</v>
      </c>
      <c r="T106"/>
      <c r="U106"/>
      <c r="V106"/>
      <c r="W106"/>
    </row>
    <row r="107" spans="1:24" s="7" customFormat="1" ht="16.5" customHeight="1">
      <c r="A107" s="100" t="str">
        <f t="shared" si="5"/>
        <v>CP09</v>
      </c>
      <c r="B107">
        <v>300.88481974000001</v>
      </c>
      <c r="C107">
        <v>25.451474081000001</v>
      </c>
      <c r="D107">
        <v>-214.09465059999999</v>
      </c>
      <c r="E107">
        <v>94.439782320999996</v>
      </c>
      <c r="F107">
        <v>-208.9856681</v>
      </c>
      <c r="G107">
        <v>21.547193896</v>
      </c>
      <c r="H107">
        <v>-56.616083089999997</v>
      </c>
      <c r="I107">
        <v>-122.74202</v>
      </c>
      <c r="J107">
        <v>36.393501495999999</v>
      </c>
      <c r="K107">
        <v>69.867763823999994</v>
      </c>
      <c r="L107">
        <v>-55.295950449999999</v>
      </c>
      <c r="M107">
        <v>18.638446549000001</v>
      </c>
      <c r="N107">
        <v>91.234112198000005</v>
      </c>
      <c r="O107">
        <v>52.827381043999999</v>
      </c>
      <c r="P107">
        <v>199.74458737</v>
      </c>
      <c r="T107"/>
      <c r="U107"/>
      <c r="V107"/>
      <c r="W107"/>
    </row>
    <row r="108" spans="1:24" s="7" customFormat="1">
      <c r="A108" s="100" t="str">
        <f t="shared" si="5"/>
        <v>CP11TT Straight Stream</v>
      </c>
      <c r="B108">
        <v>568.66599435000001</v>
      </c>
      <c r="C108">
        <v>-9.1869259260000007</v>
      </c>
      <c r="D108">
        <v>-233.8423148</v>
      </c>
      <c r="E108">
        <v>126.42764815</v>
      </c>
      <c r="F108">
        <v>-240.13794440000001</v>
      </c>
      <c r="G108">
        <v>2.8396249999999998</v>
      </c>
      <c r="H108">
        <v>-23.453291669999999</v>
      </c>
      <c r="I108">
        <v>-90.154875000000004</v>
      </c>
      <c r="J108">
        <v>48.171083332999999</v>
      </c>
      <c r="K108">
        <v>112.01141667</v>
      </c>
      <c r="L108">
        <v>-117.52575</v>
      </c>
      <c r="M108">
        <v>28.218395480000002</v>
      </c>
      <c r="N108">
        <v>92.335895480000005</v>
      </c>
      <c r="O108">
        <v>-2.6694378529999998</v>
      </c>
      <c r="P108">
        <v>-2.392771186</v>
      </c>
      <c r="T108"/>
      <c r="U108"/>
      <c r="V108"/>
      <c r="W108"/>
    </row>
    <row r="109" spans="1:24" s="7" customFormat="1">
      <c r="A109" s="100" t="str">
        <f t="shared" si="5"/>
        <v>Disc Core Straight Stream</v>
      </c>
      <c r="B109">
        <v>635.75337287000002</v>
      </c>
      <c r="C109">
        <v>12.314722232999999</v>
      </c>
      <c r="D109">
        <v>-246.1202778</v>
      </c>
      <c r="E109">
        <v>112.56466668</v>
      </c>
      <c r="F109">
        <v>-228.9845741</v>
      </c>
      <c r="G109">
        <v>12.034854144000001</v>
      </c>
      <c r="H109">
        <v>-10.61564581</v>
      </c>
      <c r="I109">
        <v>-76.512770840000002</v>
      </c>
      <c r="J109">
        <v>44.084854143999998</v>
      </c>
      <c r="K109">
        <v>127.35414586</v>
      </c>
      <c r="L109">
        <v>-102.1506042</v>
      </c>
      <c r="M109">
        <v>-69.100601690000005</v>
      </c>
      <c r="N109">
        <v>72.282398306000005</v>
      </c>
      <c r="O109">
        <v>13.526564956</v>
      </c>
      <c r="P109">
        <v>19.039398356</v>
      </c>
      <c r="T109"/>
      <c r="U109"/>
      <c r="V109"/>
      <c r="W109"/>
    </row>
    <row r="110" spans="1:24" s="7" customFormat="1">
      <c r="A110" s="100" t="str">
        <f t="shared" si="5"/>
        <v>Davidon TriSet</v>
      </c>
      <c r="B110">
        <v>451.53927512000001</v>
      </c>
      <c r="C110">
        <v>12.210556247</v>
      </c>
      <c r="D110">
        <v>-216.95863159999999</v>
      </c>
      <c r="E110">
        <v>133.86712048999999</v>
      </c>
      <c r="F110">
        <v>-307.6643335</v>
      </c>
      <c r="G110">
        <v>-9.4468444950000006</v>
      </c>
      <c r="H110">
        <v>90.737486613000002</v>
      </c>
      <c r="I110">
        <v>-79.064890449999993</v>
      </c>
      <c r="J110">
        <v>-3.3835439429999998</v>
      </c>
      <c r="K110">
        <v>162.52478755999999</v>
      </c>
      <c r="L110">
        <v>-144.68344300000001</v>
      </c>
      <c r="M110">
        <v>-16.096267619999999</v>
      </c>
      <c r="N110">
        <v>53.057731558</v>
      </c>
      <c r="O110">
        <v>-0.42915827699999998</v>
      </c>
      <c r="P110">
        <v>151.83356491000001</v>
      </c>
      <c r="T110"/>
      <c r="U110"/>
      <c r="V110"/>
      <c r="W110"/>
    </row>
    <row r="111" spans="1:24" s="7" customFormat="1">
      <c r="A111" s="100" t="str">
        <f t="shared" si="5"/>
        <v>CP11TT 60° Flat Fan</v>
      </c>
      <c r="B111" s="7">
        <v>343.03366667</v>
      </c>
      <c r="C111">
        <v>0</v>
      </c>
      <c r="D111" s="7">
        <v>-105.21796670000001</v>
      </c>
      <c r="E111" s="7">
        <v>4.9952333332999999</v>
      </c>
      <c r="F111" s="7">
        <v>-154.47416670000001</v>
      </c>
      <c r="G111">
        <v>0</v>
      </c>
      <c r="H111">
        <v>0</v>
      </c>
      <c r="I111" s="7">
        <v>-11.940633330000001</v>
      </c>
      <c r="J111">
        <v>0</v>
      </c>
      <c r="K111" s="7">
        <v>42.475949999999997</v>
      </c>
      <c r="L111" s="7">
        <v>-13.19711667</v>
      </c>
      <c r="M111">
        <v>0</v>
      </c>
      <c r="N111" s="7">
        <v>5.9071833332999999</v>
      </c>
      <c r="O111" s="7">
        <v>7.0720166666999997</v>
      </c>
      <c r="P111" s="7">
        <v>83.746933333000001</v>
      </c>
      <c r="T111"/>
      <c r="U111"/>
      <c r="V111"/>
      <c r="W111"/>
    </row>
    <row r="112" spans="1:24" s="7" customFormat="1">
      <c r="A112" s="100" t="str">
        <f t="shared" si="5"/>
        <v>TeeJet SS</v>
      </c>
      <c r="B112">
        <v>683.78805147930996</v>
      </c>
      <c r="C112">
        <v>19.897912013556699</v>
      </c>
      <c r="D112">
        <v>-408.28540945961799</v>
      </c>
      <c r="E112">
        <v>130.37286863760801</v>
      </c>
      <c r="F112">
        <v>0</v>
      </c>
      <c r="G112">
        <v>-2.4176401892435599</v>
      </c>
      <c r="H112">
        <v>-48.256835966457601</v>
      </c>
      <c r="I112">
        <v>-112.25641515016</v>
      </c>
      <c r="J112">
        <v>0</v>
      </c>
      <c r="K112">
        <v>0</v>
      </c>
      <c r="L112">
        <v>0</v>
      </c>
      <c r="M112">
        <v>-30.004585306726302</v>
      </c>
      <c r="N112">
        <v>265.38270843227201</v>
      </c>
      <c r="O112">
        <v>-45.872127515620598</v>
      </c>
      <c r="P112">
        <v>0</v>
      </c>
    </row>
    <row r="113" spans="1:16" s="7" customFormat="1">
      <c r="A113" s="100" t="str">
        <f t="shared" si="5"/>
        <v>TeeJet H1 4U</v>
      </c>
      <c r="B113">
        <v>728.163736716632</v>
      </c>
      <c r="C113">
        <v>12.445615272417101</v>
      </c>
      <c r="D113">
        <v>-440.03030726948202</v>
      </c>
      <c r="E113">
        <v>177.30928173417499</v>
      </c>
      <c r="F113">
        <v>0</v>
      </c>
      <c r="G113">
        <v>-15.725813757613</v>
      </c>
      <c r="H113">
        <v>-32.694122204855802</v>
      </c>
      <c r="I113">
        <v>-157.36823035408099</v>
      </c>
      <c r="J113">
        <v>0</v>
      </c>
      <c r="K113">
        <v>0</v>
      </c>
      <c r="L113">
        <v>0</v>
      </c>
      <c r="M113">
        <v>-31.398629780938201</v>
      </c>
      <c r="N113">
        <v>301.396639018229</v>
      </c>
      <c r="O113">
        <v>-45.029256931007197</v>
      </c>
      <c r="P113">
        <v>0</v>
      </c>
    </row>
    <row r="114" spans="1:16" s="7" customFormat="1" ht="14">
      <c r="A114" s="41"/>
      <c r="P114" s="42"/>
    </row>
    <row r="115" spans="1:16" s="7" customFormat="1" ht="14">
      <c r="A115" s="41"/>
      <c r="P115" s="42"/>
    </row>
    <row r="116" spans="1:16" s="7" customFormat="1" ht="17.25" customHeight="1">
      <c r="A116" s="41"/>
      <c r="P116" s="42"/>
    </row>
    <row r="117" spans="1:16" s="7" customFormat="1" ht="15" thickBot="1">
      <c r="A117" s="43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5"/>
    </row>
    <row r="118" spans="1:16" s="7" customFormat="1"/>
    <row r="119" spans="1:16" s="7" customFormat="1" ht="14" thickBot="1"/>
    <row r="120" spans="1:16" s="7" customFormat="1" ht="14" thickBot="1">
      <c r="A120" s="46" t="s">
        <v>7</v>
      </c>
      <c r="B120" s="102" t="s">
        <v>54</v>
      </c>
      <c r="C120" s="39" t="s">
        <v>28</v>
      </c>
      <c r="D120" s="39" t="s">
        <v>30</v>
      </c>
      <c r="E120" s="39" t="s">
        <v>36</v>
      </c>
      <c r="F120" s="39" t="s">
        <v>29</v>
      </c>
      <c r="G120" s="39" t="s">
        <v>56</v>
      </c>
      <c r="H120" s="39" t="s">
        <v>55</v>
      </c>
      <c r="I120" s="39" t="s">
        <v>57</v>
      </c>
      <c r="J120" s="39" t="s">
        <v>58</v>
      </c>
      <c r="K120" s="39" t="s">
        <v>59</v>
      </c>
      <c r="L120" s="39" t="s">
        <v>60</v>
      </c>
      <c r="M120" s="39" t="s">
        <v>61</v>
      </c>
      <c r="N120" s="39" t="s">
        <v>62</v>
      </c>
      <c r="O120" s="39" t="s">
        <v>63</v>
      </c>
      <c r="P120" s="40" t="s">
        <v>64</v>
      </c>
    </row>
    <row r="121" spans="1:16" s="7" customFormat="1">
      <c r="A121" s="100" t="str">
        <f>A2</f>
        <v>CP11TT 20° Flat Fan</v>
      </c>
      <c r="B121">
        <v>12.829813559</v>
      </c>
      <c r="C121">
        <v>-3.4458888889999999</v>
      </c>
      <c r="D121">
        <v>6.0168888888999996</v>
      </c>
      <c r="E121">
        <v>0.49877777779999999</v>
      </c>
      <c r="F121">
        <v>11.765166667000001</v>
      </c>
      <c r="G121">
        <v>-0.58956249999999999</v>
      </c>
      <c r="H121">
        <v>-0.51981250000000001</v>
      </c>
      <c r="I121">
        <v>3.2437500000000001E-2</v>
      </c>
      <c r="J121">
        <v>-2.4668125000000001</v>
      </c>
      <c r="K121">
        <v>2.8744375</v>
      </c>
      <c r="L121">
        <v>1.8526875</v>
      </c>
      <c r="M121">
        <v>1.8307175141000001</v>
      </c>
      <c r="N121">
        <v>9.0717514099999993E-2</v>
      </c>
      <c r="O121">
        <v>-0.31928248599999998</v>
      </c>
      <c r="P121">
        <v>2.9382175141000002</v>
      </c>
    </row>
    <row r="122" spans="1:16" s="7" customFormat="1">
      <c r="A122" s="100" t="str">
        <f t="shared" ref="A122:A135" si="6">A3</f>
        <v>CP11TT 40° Flat Fan</v>
      </c>
      <c r="B122">
        <v>14.305937127</v>
      </c>
      <c r="C122">
        <v>-3.8233221660000001</v>
      </c>
      <c r="D122">
        <v>6.3481208564999996</v>
      </c>
      <c r="E122">
        <v>1.2594098713999999</v>
      </c>
      <c r="F122">
        <v>12.849533836000001</v>
      </c>
      <c r="G122">
        <v>-1.096792416</v>
      </c>
      <c r="H122">
        <v>2.9361681000000001E-2</v>
      </c>
      <c r="I122">
        <v>-0.24463806299999999</v>
      </c>
      <c r="J122">
        <v>-3.090121511</v>
      </c>
      <c r="K122">
        <v>2.2643513539</v>
      </c>
      <c r="L122">
        <v>2.3896116456000001</v>
      </c>
      <c r="M122">
        <v>3.302282473</v>
      </c>
      <c r="N122">
        <v>0.32077736600000001</v>
      </c>
      <c r="O122">
        <v>-0.35791763399999998</v>
      </c>
      <c r="P122">
        <v>2.4260085309999999</v>
      </c>
    </row>
    <row r="123" spans="1:16" s="7" customFormat="1">
      <c r="A123" s="100" t="str">
        <f t="shared" si="6"/>
        <v>CP11TT 80° Flat Fan</v>
      </c>
      <c r="B123">
        <v>16.110514628000001</v>
      </c>
      <c r="C123">
        <v>-6.6486886109999999</v>
      </c>
      <c r="D123">
        <v>7.8178339350000003</v>
      </c>
      <c r="E123">
        <v>0.55497896160000004</v>
      </c>
      <c r="F123">
        <v>9.9479565559999994</v>
      </c>
      <c r="G123">
        <v>-1.5263301929999999</v>
      </c>
      <c r="H123">
        <v>-0.38434217300000001</v>
      </c>
      <c r="I123">
        <v>0.2859098336</v>
      </c>
      <c r="J123">
        <v>-1.6520326160000001</v>
      </c>
      <c r="K123">
        <v>2.6523377913999999</v>
      </c>
      <c r="L123">
        <v>1.0362045836</v>
      </c>
      <c r="M123">
        <v>6.4252147623999996</v>
      </c>
      <c r="N123">
        <v>-0.36279011100000003</v>
      </c>
      <c r="O123">
        <v>-1.2422624449999999</v>
      </c>
      <c r="P123">
        <v>1.7483865551</v>
      </c>
    </row>
    <row r="124" spans="1:16" s="7" customFormat="1">
      <c r="A124" s="100" t="str">
        <f t="shared" si="6"/>
        <v>CP03</v>
      </c>
      <c r="B124" s="7">
        <v>14.272675155</v>
      </c>
      <c r="C124" s="7">
        <v>-1.5374381559999999</v>
      </c>
      <c r="D124" s="7">
        <v>7.4053570796999999</v>
      </c>
      <c r="E124" s="7">
        <v>0.64186958159999996</v>
      </c>
      <c r="F124" s="7">
        <v>5.4638877882000001</v>
      </c>
      <c r="G124" s="7">
        <v>4.4617789400000003E-2</v>
      </c>
      <c r="H124" s="7">
        <v>-0.55248315999999997</v>
      </c>
      <c r="I124" s="7">
        <v>-0.24582330199999999</v>
      </c>
      <c r="J124" s="7">
        <v>-1.2111258819999999</v>
      </c>
      <c r="K124" s="7">
        <v>1.4614514557</v>
      </c>
      <c r="L124" s="7">
        <v>0.87002992759999997</v>
      </c>
      <c r="M124" s="7">
        <v>-0.22191219200000001</v>
      </c>
      <c r="N124" s="7">
        <v>1.0716949524999999</v>
      </c>
      <c r="O124" s="7">
        <v>-3.2098968999999998E-2</v>
      </c>
      <c r="P124" s="7">
        <v>2.0995617393999999</v>
      </c>
    </row>
    <row r="125" spans="1:16" s="7" customFormat="1">
      <c r="A125" s="100" t="str">
        <f t="shared" si="6"/>
        <v>Steel Disc Core 45</v>
      </c>
      <c r="B125">
        <v>18.246711896000001</v>
      </c>
      <c r="C125">
        <v>-5.5253582210000003</v>
      </c>
      <c r="D125">
        <v>10.462539817</v>
      </c>
      <c r="E125">
        <v>0.59442752889999995</v>
      </c>
      <c r="F125">
        <v>6.5837653660999997</v>
      </c>
      <c r="G125">
        <v>-1.0026472179999999</v>
      </c>
      <c r="H125">
        <v>-0.39100071199999997</v>
      </c>
      <c r="I125">
        <v>-0.63434572899999997</v>
      </c>
      <c r="J125">
        <v>-3.2760527960000001</v>
      </c>
      <c r="K125">
        <v>3.925032646</v>
      </c>
      <c r="L125">
        <v>1.3770364794000001</v>
      </c>
      <c r="M125">
        <v>3.1592761398999998</v>
      </c>
      <c r="N125">
        <v>1.5166618879</v>
      </c>
      <c r="O125">
        <v>0.18789455790000001</v>
      </c>
      <c r="P125">
        <v>3.0439607229000001</v>
      </c>
    </row>
    <row r="126" spans="1:16" s="7" customFormat="1">
      <c r="A126" s="100" t="str">
        <f t="shared" si="6"/>
        <v>Ceramic Disc Core 45</v>
      </c>
      <c r="B126">
        <v>18.944263343999999</v>
      </c>
      <c r="C126">
        <v>-6.7522757789999996</v>
      </c>
      <c r="D126">
        <v>10.195134943999999</v>
      </c>
      <c r="E126">
        <v>-1.7730000370000001</v>
      </c>
      <c r="F126">
        <v>8.4180711490999993</v>
      </c>
      <c r="G126">
        <v>-1.217860417</v>
      </c>
      <c r="H126">
        <v>1.4037392076999999</v>
      </c>
      <c r="I126">
        <v>-0.96448587500000005</v>
      </c>
      <c r="J126">
        <v>-2.962515335</v>
      </c>
      <c r="K126">
        <v>4.4679277498000003</v>
      </c>
      <c r="L126">
        <v>-1.124719625</v>
      </c>
      <c r="M126">
        <v>2.7165237673</v>
      </c>
      <c r="N126">
        <v>1.6514095973</v>
      </c>
      <c r="O126">
        <v>0.61347943230000002</v>
      </c>
      <c r="P126">
        <v>1.6507387623000001</v>
      </c>
    </row>
    <row r="127" spans="1:16" s="7" customFormat="1">
      <c r="A127" s="100" t="str">
        <f t="shared" si="6"/>
        <v>Standard 40° Flat Fan</v>
      </c>
      <c r="B127">
        <v>12.981614618</v>
      </c>
      <c r="C127">
        <v>-5.8333006579999997</v>
      </c>
      <c r="D127">
        <v>8.0024463149000002</v>
      </c>
      <c r="E127">
        <v>0.34762834929999997</v>
      </c>
      <c r="F127">
        <v>14.193920816</v>
      </c>
      <c r="G127">
        <v>-1.900799785</v>
      </c>
      <c r="H127">
        <v>0.37019112209999999</v>
      </c>
      <c r="I127">
        <v>-0.43663369699999999</v>
      </c>
      <c r="J127">
        <v>-5.623381137</v>
      </c>
      <c r="K127">
        <v>4.3428516351999997</v>
      </c>
      <c r="L127">
        <v>1.2063513018000001</v>
      </c>
      <c r="M127">
        <v>3.4956393491000002</v>
      </c>
      <c r="N127">
        <v>2.0858292933000002</v>
      </c>
      <c r="O127">
        <v>0.85852162679999999</v>
      </c>
      <c r="P127">
        <v>2.6107221267999998</v>
      </c>
    </row>
    <row r="128" spans="1:16" s="7" customFormat="1">
      <c r="A128" s="100" t="str">
        <f t="shared" si="6"/>
        <v>Standard 80° Flat Fan</v>
      </c>
      <c r="B128">
        <v>14.753198352</v>
      </c>
      <c r="C128">
        <v>-5.985391259</v>
      </c>
      <c r="D128">
        <v>8.0091987726999996</v>
      </c>
      <c r="E128">
        <v>0.84128860569999997</v>
      </c>
      <c r="F128">
        <v>13.317366751</v>
      </c>
      <c r="G128">
        <v>-1.561509236</v>
      </c>
      <c r="H128">
        <v>-0.39705694000000002</v>
      </c>
      <c r="I128">
        <v>-4.2997395000000001E-2</v>
      </c>
      <c r="J128">
        <v>-4.4046530019999999</v>
      </c>
      <c r="K128">
        <v>3.9477741458</v>
      </c>
      <c r="L128">
        <v>1.1571144366999999</v>
      </c>
      <c r="M128">
        <v>4.0674583733</v>
      </c>
      <c r="N128">
        <v>1.5791860875999999</v>
      </c>
      <c r="O128">
        <v>1.2884727575999999</v>
      </c>
      <c r="P128">
        <v>2.4197692541000002</v>
      </c>
    </row>
    <row r="129" spans="1:16" s="7" customFormat="1">
      <c r="A129" s="100" t="str">
        <f t="shared" si="6"/>
        <v>CP09</v>
      </c>
      <c r="B129">
        <v>10.936440684000001</v>
      </c>
      <c r="C129">
        <v>-0.74054297099999999</v>
      </c>
      <c r="D129">
        <v>5.4778441000999996</v>
      </c>
      <c r="E129">
        <v>-0.25402723700000002</v>
      </c>
      <c r="F129">
        <v>4.1396376439999996</v>
      </c>
      <c r="G129">
        <v>-3.3450594E-2</v>
      </c>
      <c r="H129">
        <v>-0.32826792999999999</v>
      </c>
      <c r="I129">
        <v>0.1671021265</v>
      </c>
      <c r="J129">
        <v>-1.433369782</v>
      </c>
      <c r="K129">
        <v>0.9586654818</v>
      </c>
      <c r="L129">
        <v>0.33669765489999998</v>
      </c>
      <c r="M129">
        <v>-0.190145433</v>
      </c>
      <c r="N129">
        <v>1.2460524442000001</v>
      </c>
      <c r="O129">
        <v>5.5089602600000002E-2</v>
      </c>
      <c r="P129">
        <v>-1.85658382</v>
      </c>
    </row>
    <row r="130" spans="1:16" s="7" customFormat="1">
      <c r="A130" s="100" t="str">
        <f t="shared" si="6"/>
        <v>CP11TT Straight Stream</v>
      </c>
      <c r="B130">
        <v>6.7955127571</v>
      </c>
      <c r="C130">
        <v>0.16977374070000001</v>
      </c>
      <c r="D130">
        <v>5.3290549814999997</v>
      </c>
      <c r="E130">
        <v>-1.1335465929999999</v>
      </c>
      <c r="F130">
        <v>4.7546889815000002</v>
      </c>
      <c r="G130">
        <v>0.18655885420000001</v>
      </c>
      <c r="H130">
        <v>0.1514333125</v>
      </c>
      <c r="I130">
        <v>-0.49668518699999997</v>
      </c>
      <c r="J130">
        <v>-1.1366211879999999</v>
      </c>
      <c r="K130">
        <v>1.8709139792</v>
      </c>
      <c r="L130">
        <v>0.50402652079999999</v>
      </c>
      <c r="M130">
        <v>-0.14365977199999999</v>
      </c>
      <c r="N130">
        <v>0.97682639449999997</v>
      </c>
      <c r="O130">
        <v>0.28419956120000001</v>
      </c>
      <c r="P130">
        <v>1.5699617279</v>
      </c>
    </row>
    <row r="131" spans="1:16" s="7" customFormat="1">
      <c r="A131" s="100" t="str">
        <f t="shared" si="6"/>
        <v>Disc Core Straight Stream</v>
      </c>
      <c r="B131">
        <v>6.1290797512999999</v>
      </c>
      <c r="C131">
        <v>-0.28723136999999999</v>
      </c>
      <c r="D131">
        <v>5.4576151483000004</v>
      </c>
      <c r="E131">
        <v>-0.88636483300000002</v>
      </c>
      <c r="F131">
        <v>4.8854923521</v>
      </c>
      <c r="G131">
        <v>0.32406393779999998</v>
      </c>
      <c r="H131">
        <v>0.25428647900000001</v>
      </c>
      <c r="I131">
        <v>-0.33018006300000002</v>
      </c>
      <c r="J131">
        <v>-2.000596646</v>
      </c>
      <c r="K131">
        <v>1.5152539794</v>
      </c>
      <c r="L131">
        <v>0.44851977059999998</v>
      </c>
      <c r="M131">
        <v>2.0752819565</v>
      </c>
      <c r="N131">
        <v>0.77546795700000004</v>
      </c>
      <c r="O131">
        <v>-1.5708759999999999E-3</v>
      </c>
      <c r="P131">
        <v>1.0791677900000001</v>
      </c>
    </row>
    <row r="132" spans="1:16" s="7" customFormat="1">
      <c r="A132" s="100" t="str">
        <f t="shared" si="6"/>
        <v>Davidon TriSet</v>
      </c>
      <c r="B132">
        <v>8.9159307911999992</v>
      </c>
      <c r="C132">
        <v>0.70683472800000002</v>
      </c>
      <c r="D132">
        <v>5.2315287102000001</v>
      </c>
      <c r="E132">
        <v>-0.839318067</v>
      </c>
      <c r="F132">
        <v>6.2734262703999999</v>
      </c>
      <c r="G132">
        <v>0.22465055270000001</v>
      </c>
      <c r="H132">
        <v>0.62768808149999999</v>
      </c>
      <c r="I132">
        <v>-0.38842853999999999</v>
      </c>
      <c r="J132">
        <v>-0.114724855</v>
      </c>
      <c r="K132">
        <v>1.4306817072</v>
      </c>
      <c r="L132">
        <v>0.94315120659999996</v>
      </c>
      <c r="M132">
        <v>0.80165189530000003</v>
      </c>
      <c r="N132">
        <v>0.57195695520000001</v>
      </c>
      <c r="O132">
        <v>-0.28246270000000001</v>
      </c>
      <c r="P132">
        <v>0.6325026252</v>
      </c>
    </row>
    <row r="133" spans="1:16" s="7" customFormat="1">
      <c r="A133" s="100" t="str">
        <f t="shared" si="6"/>
        <v>CP11TT 60° Flat Fan</v>
      </c>
      <c r="B133" s="7">
        <v>16.579871000000001</v>
      </c>
      <c r="C133">
        <v>0</v>
      </c>
      <c r="D133" s="7">
        <v>8.9428461749999997</v>
      </c>
      <c r="E133" s="7">
        <v>-0.31586095800000002</v>
      </c>
      <c r="F133" s="7">
        <v>7.8103552916999996</v>
      </c>
      <c r="G133">
        <v>0</v>
      </c>
      <c r="H133">
        <v>0</v>
      </c>
      <c r="I133" s="7">
        <v>0.1164904542</v>
      </c>
      <c r="J133">
        <v>0</v>
      </c>
      <c r="K133">
        <v>2.4433754749999999</v>
      </c>
      <c r="L133">
        <v>0.21253121250000001</v>
      </c>
      <c r="M133">
        <v>0</v>
      </c>
      <c r="N133">
        <v>2.5193659041999998</v>
      </c>
      <c r="O133">
        <v>-0.28125244999999999</v>
      </c>
      <c r="P133">
        <v>-0.68641609599999998</v>
      </c>
    </row>
    <row r="134" spans="1:16" s="7" customFormat="1">
      <c r="A134" s="100" t="str">
        <f t="shared" si="6"/>
        <v>TeeJet SS</v>
      </c>
      <c r="B134">
        <v>3.0893608493159301</v>
      </c>
      <c r="C134">
        <v>0.42675511503774399</v>
      </c>
      <c r="D134">
        <v>4.1650954783805503</v>
      </c>
      <c r="E134">
        <v>-1.7486273108900601</v>
      </c>
      <c r="F134">
        <v>0</v>
      </c>
      <c r="G134">
        <v>0.35635988661466</v>
      </c>
      <c r="H134">
        <v>-4.4968758516237203E-2</v>
      </c>
      <c r="I134">
        <v>-1.38961131527369</v>
      </c>
      <c r="J134">
        <v>0</v>
      </c>
      <c r="K134">
        <v>0</v>
      </c>
      <c r="L134">
        <v>0</v>
      </c>
      <c r="M134">
        <v>0.151437927781673</v>
      </c>
      <c r="N134">
        <v>1.4017101803407599</v>
      </c>
      <c r="O134">
        <v>0.56764734277876305</v>
      </c>
      <c r="P134">
        <v>0</v>
      </c>
    </row>
    <row r="135" spans="1:16" s="7" customFormat="1">
      <c r="A135" s="100" t="str">
        <f t="shared" si="6"/>
        <v>TeeJet H1 4U</v>
      </c>
      <c r="B135">
        <v>2.7867372860730999</v>
      </c>
      <c r="C135">
        <v>0.47613190817665202</v>
      </c>
      <c r="D135">
        <v>3.3819864783645701</v>
      </c>
      <c r="E135">
        <v>-1.5504284333782099</v>
      </c>
      <c r="F135">
        <v>0</v>
      </c>
      <c r="G135">
        <v>0.68716580936834903</v>
      </c>
      <c r="H135">
        <v>-0.40807226202749702</v>
      </c>
      <c r="I135">
        <v>-1.11775292096659</v>
      </c>
      <c r="J135">
        <v>0</v>
      </c>
      <c r="K135">
        <v>0</v>
      </c>
      <c r="L135">
        <v>0</v>
      </c>
      <c r="M135">
        <v>-0.50870725457445498</v>
      </c>
      <c r="N135">
        <v>1.0173772143387001</v>
      </c>
      <c r="O135">
        <v>0.36566437892689402</v>
      </c>
      <c r="P135">
        <v>0</v>
      </c>
    </row>
    <row r="136" spans="1:16" s="7" customFormat="1" ht="14">
      <c r="A136" s="41"/>
      <c r="P136" s="42"/>
    </row>
    <row r="137" spans="1:16" s="7" customFormat="1" ht="14">
      <c r="A137" s="41"/>
      <c r="P137" s="42"/>
    </row>
    <row r="138" spans="1:16" s="7" customFormat="1" ht="14">
      <c r="A138" s="41"/>
      <c r="P138" s="42"/>
    </row>
    <row r="139" spans="1:16" s="7" customFormat="1" ht="15" thickBot="1">
      <c r="A139" s="43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5"/>
    </row>
    <row r="140" spans="1:16" s="7" customFormat="1"/>
    <row r="141" spans="1:16" s="7" customFormat="1" ht="14" thickBot="1"/>
    <row r="142" spans="1:16" s="7" customFormat="1" ht="14" thickBot="1">
      <c r="A142" s="104" t="s">
        <v>106</v>
      </c>
      <c r="B142" s="51" t="s">
        <v>54</v>
      </c>
      <c r="C142" s="51" t="s">
        <v>28</v>
      </c>
      <c r="D142" s="51" t="s">
        <v>30</v>
      </c>
      <c r="E142" s="51" t="s">
        <v>36</v>
      </c>
      <c r="F142" s="51" t="s">
        <v>29</v>
      </c>
      <c r="G142" s="51" t="s">
        <v>56</v>
      </c>
      <c r="H142" s="51" t="s">
        <v>55</v>
      </c>
      <c r="I142" s="51" t="s">
        <v>57</v>
      </c>
      <c r="J142" s="51" t="s">
        <v>58</v>
      </c>
      <c r="K142" s="51" t="s">
        <v>59</v>
      </c>
      <c r="L142" s="51" t="s">
        <v>60</v>
      </c>
      <c r="M142" s="51" t="s">
        <v>61</v>
      </c>
      <c r="N142" s="51" t="s">
        <v>62</v>
      </c>
      <c r="O142" s="51" t="s">
        <v>63</v>
      </c>
      <c r="P142" s="52" t="s">
        <v>64</v>
      </c>
    </row>
    <row r="143" spans="1:16" s="7" customFormat="1">
      <c r="A143" s="105" t="str">
        <f>A2</f>
        <v>CP11TT 20° Flat Fan</v>
      </c>
      <c r="B143">
        <v>44.247457627000003</v>
      </c>
      <c r="C143">
        <v>-6.6833333330000002</v>
      </c>
      <c r="D143">
        <v>12.772222222</v>
      </c>
      <c r="E143">
        <v>-0.66111111099999997</v>
      </c>
      <c r="F143">
        <v>26.166666667000001</v>
      </c>
      <c r="G143">
        <v>0.35</v>
      </c>
      <c r="H143">
        <v>-0.1</v>
      </c>
      <c r="I143">
        <v>-2.2625000000000002</v>
      </c>
      <c r="J143">
        <v>-2.1</v>
      </c>
      <c r="K143">
        <v>1.0375000000000001</v>
      </c>
      <c r="L143">
        <v>3.8624999999999998</v>
      </c>
      <c r="M143">
        <v>2.8612994349999998</v>
      </c>
      <c r="N143">
        <v>-0.43870056499999999</v>
      </c>
      <c r="O143">
        <v>-1.0387005650000001</v>
      </c>
      <c r="P143">
        <v>3.0112994350000002</v>
      </c>
    </row>
    <row r="144" spans="1:16" s="7" customFormat="1">
      <c r="A144" s="106" t="str">
        <f t="shared" ref="A144:A158" si="7">A3</f>
        <v>CP11TT 40° Flat Fan</v>
      </c>
      <c r="B144">
        <v>49.092798148999996</v>
      </c>
      <c r="C144">
        <v>-6.6527584820000003</v>
      </c>
      <c r="D144">
        <v>12.975048902999999</v>
      </c>
      <c r="E144">
        <v>0.84169753619999998</v>
      </c>
      <c r="F144">
        <v>25.967329269</v>
      </c>
      <c r="G144">
        <v>0.39193562949999999</v>
      </c>
      <c r="H144">
        <v>0.39093051290000003</v>
      </c>
      <c r="I144">
        <v>-2.7031235410000001</v>
      </c>
      <c r="J144">
        <v>-2.6174703140000002</v>
      </c>
      <c r="K144">
        <v>-0.87573324900000005</v>
      </c>
      <c r="L144">
        <v>4.0473404986999997</v>
      </c>
      <c r="M144">
        <v>6.8747766743999996</v>
      </c>
      <c r="N144">
        <v>-0.26928223800000001</v>
      </c>
      <c r="O144">
        <v>-1.041777908</v>
      </c>
      <c r="P144">
        <v>-1.830584738</v>
      </c>
    </row>
    <row r="145" spans="1:16" s="7" customFormat="1">
      <c r="A145" s="106" t="str">
        <f t="shared" si="7"/>
        <v>CP11TT 80° Flat Fan</v>
      </c>
      <c r="B145">
        <v>52.983175430999999</v>
      </c>
      <c r="C145">
        <v>-13.3</v>
      </c>
      <c r="D145">
        <v>13.280223088</v>
      </c>
      <c r="E145">
        <v>0.79572592070000003</v>
      </c>
      <c r="F145">
        <v>18.074699008</v>
      </c>
      <c r="G145">
        <v>1.7081090651999999</v>
      </c>
      <c r="H145">
        <v>-1.238533994</v>
      </c>
      <c r="I145">
        <v>-2.2937500000000002</v>
      </c>
      <c r="J145">
        <v>3.1120750708</v>
      </c>
      <c r="K145">
        <v>-0.23125000000000001</v>
      </c>
      <c r="L145">
        <v>1.53125</v>
      </c>
      <c r="M145">
        <v>12.10100536</v>
      </c>
      <c r="N145">
        <v>-0.91073446300000005</v>
      </c>
      <c r="O145">
        <v>-1.360734463</v>
      </c>
      <c r="P145">
        <v>-0.46073446299999998</v>
      </c>
    </row>
    <row r="146" spans="1:16" s="7" customFormat="1">
      <c r="A146" s="106" t="str">
        <f t="shared" si="7"/>
        <v>CP03</v>
      </c>
      <c r="B146" s="7">
        <v>50.431251076000002</v>
      </c>
      <c r="C146" s="7">
        <v>-6.0453248620000002</v>
      </c>
      <c r="D146" s="7">
        <v>18.301926504000001</v>
      </c>
      <c r="E146" s="7">
        <v>0.65277188139999998</v>
      </c>
      <c r="F146" s="7">
        <v>13.091333408000001</v>
      </c>
      <c r="G146" s="7">
        <v>0.74741997299999996</v>
      </c>
      <c r="H146" s="7">
        <v>-2.4081902469999998</v>
      </c>
      <c r="I146" s="7">
        <v>8.6675671600000004E-2</v>
      </c>
      <c r="J146" s="7">
        <v>-1.7408657089999999</v>
      </c>
      <c r="K146" s="7">
        <v>1.4072669382</v>
      </c>
      <c r="L146" s="7">
        <v>1.8963675713000001</v>
      </c>
      <c r="M146" s="7">
        <v>1.5619571255</v>
      </c>
      <c r="N146" s="7">
        <v>-0.83227871499999995</v>
      </c>
      <c r="O146" s="7">
        <v>-1.4086364259999999</v>
      </c>
      <c r="P146" s="7">
        <v>4.4746342417999996</v>
      </c>
    </row>
    <row r="147" spans="1:16" s="7" customFormat="1">
      <c r="A147" s="106" t="str">
        <f t="shared" si="7"/>
        <v>Steel Disc Core 45</v>
      </c>
      <c r="B147">
        <v>57.475694443999998</v>
      </c>
      <c r="C147">
        <v>-10.616666670000001</v>
      </c>
      <c r="D147">
        <v>14.423020362000001</v>
      </c>
      <c r="E147">
        <v>0.43314479639999998</v>
      </c>
      <c r="F147">
        <v>7.2041855204000003</v>
      </c>
      <c r="G147">
        <v>4.6002828054</v>
      </c>
      <c r="H147">
        <v>0.33812217189999999</v>
      </c>
      <c r="I147">
        <v>-1.91875</v>
      </c>
      <c r="J147">
        <v>-2.886312217</v>
      </c>
      <c r="K147">
        <v>-1.0687500000000001</v>
      </c>
      <c r="L147">
        <v>1.14375</v>
      </c>
      <c r="M147">
        <v>7.6827801318000004</v>
      </c>
      <c r="N147">
        <v>-0.69067796599999998</v>
      </c>
      <c r="O147">
        <v>0.40932203389999999</v>
      </c>
      <c r="P147">
        <v>4.6093220338999998</v>
      </c>
    </row>
    <row r="148" spans="1:16" s="7" customFormat="1">
      <c r="A148" s="106" t="str">
        <f t="shared" si="7"/>
        <v>Ceramic Disc Core 45</v>
      </c>
      <c r="B148">
        <v>59.477966102000003</v>
      </c>
      <c r="C148">
        <v>-11.06666667</v>
      </c>
      <c r="D148">
        <v>14.888888889</v>
      </c>
      <c r="E148">
        <v>-0.92777777800000005</v>
      </c>
      <c r="F148">
        <v>11.111111111</v>
      </c>
      <c r="G148">
        <v>4.8375000000000004</v>
      </c>
      <c r="H148">
        <v>0.45</v>
      </c>
      <c r="I148">
        <v>-2.1875</v>
      </c>
      <c r="J148">
        <v>2.5000000000000001E-2</v>
      </c>
      <c r="K148">
        <v>0.23749999999999999</v>
      </c>
      <c r="L148">
        <v>0.375</v>
      </c>
      <c r="M148">
        <v>5.6090395480000002</v>
      </c>
      <c r="N148">
        <v>-0.190960452</v>
      </c>
      <c r="O148">
        <v>1.3590395479999999</v>
      </c>
      <c r="P148">
        <v>2.0090395480000001</v>
      </c>
    </row>
    <row r="149" spans="1:16" s="7" customFormat="1">
      <c r="A149" s="106" t="str">
        <f t="shared" si="7"/>
        <v>Standard 40° Flat Fan</v>
      </c>
      <c r="B149">
        <v>45.491105097000002</v>
      </c>
      <c r="C149">
        <v>-9.6485257410000003</v>
      </c>
      <c r="D149">
        <v>13.035434228</v>
      </c>
      <c r="E149">
        <v>0.37329508439999998</v>
      </c>
      <c r="F149">
        <v>23.733092411000001</v>
      </c>
      <c r="G149">
        <v>1.5179273898000001</v>
      </c>
      <c r="H149">
        <v>0.44032225759999999</v>
      </c>
      <c r="I149">
        <v>-3.2947783529999999</v>
      </c>
      <c r="J149">
        <v>-3.140545033</v>
      </c>
      <c r="K149">
        <v>-0.46233760400000001</v>
      </c>
      <c r="L149">
        <v>2.9421637293999998</v>
      </c>
      <c r="M149">
        <v>8.1139141764999998</v>
      </c>
      <c r="N149">
        <v>1.1967205751000001</v>
      </c>
      <c r="O149">
        <v>-1.09152392</v>
      </c>
      <c r="P149">
        <v>1.0251279100999999</v>
      </c>
    </row>
    <row r="150" spans="1:16" s="7" customFormat="1">
      <c r="A150" s="106" t="str">
        <f t="shared" si="7"/>
        <v>Standard 80° Flat Fan</v>
      </c>
      <c r="B150">
        <v>50.429821169999997</v>
      </c>
      <c r="C150">
        <v>-10.995825</v>
      </c>
      <c r="D150">
        <v>12.148043933</v>
      </c>
      <c r="E150">
        <v>1.5038168817999999</v>
      </c>
      <c r="F150">
        <v>20.653530966999998</v>
      </c>
      <c r="G150">
        <v>2.1091289488</v>
      </c>
      <c r="H150">
        <v>5.9257318999999999E-3</v>
      </c>
      <c r="I150">
        <v>-3.5839033329999999</v>
      </c>
      <c r="J150">
        <v>0.6085315536</v>
      </c>
      <c r="K150">
        <v>-0.51825924899999998</v>
      </c>
      <c r="L150">
        <v>2.0323964993999999</v>
      </c>
      <c r="M150">
        <v>10.449127753000001</v>
      </c>
      <c r="N150">
        <v>-1.602319E-2</v>
      </c>
      <c r="O150">
        <v>-0.12264686</v>
      </c>
      <c r="P150">
        <v>1.0434813048</v>
      </c>
    </row>
    <row r="151" spans="1:16" s="7" customFormat="1">
      <c r="A151" s="106" t="str">
        <f t="shared" si="7"/>
        <v>CP09</v>
      </c>
      <c r="B151">
        <v>41.069939814000001</v>
      </c>
      <c r="C151">
        <v>-3.4073436799999999</v>
      </c>
      <c r="D151">
        <v>16.284497505000001</v>
      </c>
      <c r="E151">
        <v>-2.1455132890000002</v>
      </c>
      <c r="F151">
        <v>13.246873853</v>
      </c>
      <c r="G151">
        <v>-0.74678380700000002</v>
      </c>
      <c r="H151">
        <v>-0.54249924100000002</v>
      </c>
      <c r="I151">
        <v>0.552321803</v>
      </c>
      <c r="J151">
        <v>-4.6797944569999999</v>
      </c>
      <c r="K151">
        <v>2.4996804483999999</v>
      </c>
      <c r="L151">
        <v>0.396778611</v>
      </c>
      <c r="M151">
        <v>0.30703085660000001</v>
      </c>
      <c r="N151">
        <v>1.9498768849999999</v>
      </c>
      <c r="O151">
        <v>-1.1857339179999999</v>
      </c>
      <c r="P151">
        <v>-7.1517247130000001</v>
      </c>
    </row>
    <row r="152" spans="1:16" s="7" customFormat="1">
      <c r="A152" s="106" t="str">
        <f t="shared" si="7"/>
        <v>CP11TT Straight Stream</v>
      </c>
      <c r="B152">
        <v>26.355134595999999</v>
      </c>
      <c r="C152">
        <v>0.20201052780000001</v>
      </c>
      <c r="D152">
        <v>15.249431897999999</v>
      </c>
      <c r="E152">
        <v>-3.7684939910000002</v>
      </c>
      <c r="F152">
        <v>13.968060324</v>
      </c>
      <c r="G152">
        <v>5.7953968799999998E-2</v>
      </c>
      <c r="H152">
        <v>0.37335555209999999</v>
      </c>
      <c r="I152">
        <v>-0.999832469</v>
      </c>
      <c r="J152">
        <v>-3.1553679899999998</v>
      </c>
      <c r="K152">
        <v>3.5761391563</v>
      </c>
      <c r="L152">
        <v>1.8835790728999999</v>
      </c>
      <c r="M152">
        <v>-0.509847473</v>
      </c>
      <c r="N152">
        <v>1.6994086934999999</v>
      </c>
      <c r="O152">
        <v>0.77687936020000004</v>
      </c>
      <c r="P152">
        <v>2.9733295268000002</v>
      </c>
    </row>
    <row r="153" spans="1:16" s="7" customFormat="1">
      <c r="A153" s="106" t="str">
        <f t="shared" si="7"/>
        <v>Disc Core Straight Stream</v>
      </c>
      <c r="B153">
        <v>24.02855843</v>
      </c>
      <c r="C153">
        <v>-0.43482731499999999</v>
      </c>
      <c r="D153">
        <v>15.336443593</v>
      </c>
      <c r="E153">
        <v>-3.3141608150000001</v>
      </c>
      <c r="F153">
        <v>14.017457557</v>
      </c>
      <c r="G153">
        <v>0.47643720830000003</v>
      </c>
      <c r="H153">
        <v>1.0032365833000001</v>
      </c>
      <c r="I153">
        <v>-0.99864291699999996</v>
      </c>
      <c r="J153">
        <v>-5.0462262500000001</v>
      </c>
      <c r="K153">
        <v>2.6460403345999999</v>
      </c>
      <c r="L153">
        <v>1.1994623745999999</v>
      </c>
      <c r="M153">
        <v>5.4332003347000004</v>
      </c>
      <c r="N153">
        <v>1.2741814997000001</v>
      </c>
      <c r="O153">
        <v>0.17322016470000001</v>
      </c>
      <c r="P153">
        <v>1.0819208297</v>
      </c>
    </row>
    <row r="154" spans="1:16" s="7" customFormat="1">
      <c r="A154" s="106" t="str">
        <f t="shared" si="7"/>
        <v>Davidon TriSet</v>
      </c>
      <c r="B154">
        <v>35.254811328999999</v>
      </c>
      <c r="C154">
        <v>0.53523856739999998</v>
      </c>
      <c r="D154">
        <v>15.698883723</v>
      </c>
      <c r="E154">
        <v>-3.7031346950000001</v>
      </c>
      <c r="F154">
        <v>19.682623731</v>
      </c>
      <c r="G154">
        <v>-0.17876298700000001</v>
      </c>
      <c r="H154">
        <v>1.5891734994</v>
      </c>
      <c r="I154">
        <v>-1.2559020400000001</v>
      </c>
      <c r="J154">
        <v>-1.486738458</v>
      </c>
      <c r="K154">
        <v>2.8963608546000001</v>
      </c>
      <c r="L154">
        <v>2.5799197890999999</v>
      </c>
      <c r="M154">
        <v>2.7756460451999998</v>
      </c>
      <c r="N154">
        <v>9.5499495599999998E-2</v>
      </c>
      <c r="O154">
        <v>-0.44366531799999998</v>
      </c>
      <c r="P154">
        <v>-2.006839834</v>
      </c>
    </row>
    <row r="155" spans="1:16" s="7" customFormat="1">
      <c r="A155" s="106" t="str">
        <f t="shared" si="7"/>
        <v>CP11TT 60° Flat Fan</v>
      </c>
      <c r="B155">
        <v>54.960126332999998</v>
      </c>
      <c r="C155">
        <v>0</v>
      </c>
      <c r="D155">
        <v>18.098896499999999</v>
      </c>
      <c r="E155">
        <v>-0.11288683300000001</v>
      </c>
      <c r="F155">
        <v>17.500061667000001</v>
      </c>
      <c r="G155">
        <v>0</v>
      </c>
      <c r="H155">
        <v>0</v>
      </c>
      <c r="I155">
        <v>0.1567865833</v>
      </c>
      <c r="J155">
        <v>0</v>
      </c>
      <c r="K155">
        <v>-0.27727600000000002</v>
      </c>
      <c r="L155">
        <v>0.88830575000000001</v>
      </c>
      <c r="M155">
        <v>0</v>
      </c>
      <c r="N155">
        <v>0.25582125</v>
      </c>
      <c r="O155">
        <v>-0.85706616700000005</v>
      </c>
      <c r="P155">
        <v>-3.244749917</v>
      </c>
    </row>
    <row r="156" spans="1:16" s="7" customFormat="1">
      <c r="A156" s="106" t="str">
        <f t="shared" si="7"/>
        <v>TeeJet SS</v>
      </c>
      <c r="B156">
        <v>12.7682633910758</v>
      </c>
      <c r="C156">
        <v>0.831140237898505</v>
      </c>
      <c r="D156">
        <v>14.248092703603801</v>
      </c>
      <c r="E156">
        <v>-5.9412310031205804</v>
      </c>
      <c r="F156">
        <v>0</v>
      </c>
      <c r="G156">
        <v>-9.0241359971616406E-2</v>
      </c>
      <c r="H156">
        <v>0.42458969849504102</v>
      </c>
      <c r="I156">
        <v>-4.1520442034947198</v>
      </c>
      <c r="J156">
        <v>0</v>
      </c>
      <c r="K156">
        <v>0</v>
      </c>
      <c r="L156">
        <v>0</v>
      </c>
      <c r="M156">
        <v>0.38799617715034401</v>
      </c>
      <c r="N156">
        <v>3.8733858490369601</v>
      </c>
      <c r="O156">
        <v>1.8536709477439699</v>
      </c>
      <c r="P156">
        <v>0</v>
      </c>
    </row>
    <row r="157" spans="1:16" s="7" customFormat="1">
      <c r="A157" s="106" t="str">
        <f t="shared" si="7"/>
        <v>TeeJet H1 4U</v>
      </c>
      <c r="B157">
        <v>11.168906934494499</v>
      </c>
      <c r="C157">
        <v>0.95329759311621098</v>
      </c>
      <c r="D157">
        <v>11.517663979181901</v>
      </c>
      <c r="E157">
        <v>-5.3603960078365303</v>
      </c>
      <c r="F157">
        <v>0</v>
      </c>
      <c r="G157">
        <v>0.69001150590499605</v>
      </c>
      <c r="H157">
        <v>-0.55113140554438</v>
      </c>
      <c r="I157">
        <v>-3.6008755419677998</v>
      </c>
      <c r="J157">
        <v>0</v>
      </c>
      <c r="K157">
        <v>0</v>
      </c>
      <c r="L157">
        <v>0</v>
      </c>
      <c r="M157">
        <v>-1.23551646621331</v>
      </c>
      <c r="N157">
        <v>2.75311409338252</v>
      </c>
      <c r="O157">
        <v>1.4242324461048399</v>
      </c>
      <c r="P157">
        <v>0</v>
      </c>
    </row>
    <row r="158" spans="1:16" s="7" customFormat="1">
      <c r="A158" s="33"/>
      <c r="P158" s="42"/>
    </row>
    <row r="159" spans="1:16" s="7" customFormat="1">
      <c r="A159" s="33"/>
      <c r="P159" s="42"/>
    </row>
    <row r="160" spans="1:16" s="7" customFormat="1" ht="14" thickBot="1">
      <c r="A160" s="3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5"/>
    </row>
    <row r="161" spans="1:20" s="7" customFormat="1"/>
    <row r="162" spans="1:20" s="7" customFormat="1" ht="14" thickBot="1"/>
    <row r="163" spans="1:20" s="7" customFormat="1">
      <c r="A163" s="104" t="s">
        <v>148</v>
      </c>
      <c r="B163" s="51" t="s">
        <v>54</v>
      </c>
      <c r="C163" s="51" t="s">
        <v>28</v>
      </c>
      <c r="D163" s="51" t="s">
        <v>30</v>
      </c>
      <c r="E163" s="51" t="s">
        <v>36</v>
      </c>
      <c r="F163" s="51" t="s">
        <v>29</v>
      </c>
      <c r="G163" s="51" t="s">
        <v>56</v>
      </c>
      <c r="H163" s="51" t="s">
        <v>55</v>
      </c>
      <c r="I163" s="51" t="s">
        <v>57</v>
      </c>
      <c r="J163" s="51" t="s">
        <v>58</v>
      </c>
      <c r="K163" s="51" t="s">
        <v>59</v>
      </c>
      <c r="L163" s="51" t="s">
        <v>60</v>
      </c>
      <c r="M163" s="51" t="s">
        <v>61</v>
      </c>
      <c r="N163" s="51" t="s">
        <v>62</v>
      </c>
      <c r="O163" s="51" t="s">
        <v>63</v>
      </c>
      <c r="P163" s="52" t="s">
        <v>64</v>
      </c>
    </row>
    <row r="164" spans="1:20" s="7" customFormat="1">
      <c r="A164" s="106" t="str">
        <f>A2</f>
        <v>CP11TT 20° Flat Fan</v>
      </c>
      <c r="B164" s="7">
        <v>23.952212468999999</v>
      </c>
      <c r="C164" s="7">
        <v>-5.3555712040000003</v>
      </c>
      <c r="D164" s="7">
        <v>9.8440646851999993</v>
      </c>
      <c r="E164" s="7">
        <v>0.44241985189999999</v>
      </c>
      <c r="F164" s="7">
        <v>19.237569981</v>
      </c>
      <c r="G164" s="7">
        <v>-0.70728625000000001</v>
      </c>
      <c r="H164" s="7">
        <v>-0.56210274999999998</v>
      </c>
      <c r="I164" s="7">
        <v>-0.41164841699999999</v>
      </c>
      <c r="J164" s="7">
        <v>-3.2391320000000001</v>
      </c>
      <c r="K164" s="7">
        <v>3.7693979167</v>
      </c>
      <c r="L164" s="7">
        <v>2.9826062499999999</v>
      </c>
      <c r="M164" s="7">
        <v>2.471717564</v>
      </c>
      <c r="N164" s="7">
        <v>8.1012230700000007E-2</v>
      </c>
      <c r="O164" s="7">
        <v>-0.78839660300000003</v>
      </c>
      <c r="P164" s="7">
        <v>4.8071938974000004</v>
      </c>
    </row>
    <row r="165" spans="1:20" s="7" customFormat="1">
      <c r="A165" s="106" t="str">
        <f t="shared" ref="A165:A181" si="8">A3</f>
        <v>CP11TT 40° Flat Fan</v>
      </c>
      <c r="B165" s="7">
        <v>26.853111001999999</v>
      </c>
      <c r="C165" s="7">
        <v>-5.7649957780000003</v>
      </c>
      <c r="D165" s="7">
        <v>10.276437442000001</v>
      </c>
      <c r="E165" s="7">
        <v>1.3253851364</v>
      </c>
      <c r="F165" s="7">
        <v>20.353832087000001</v>
      </c>
      <c r="G165" s="7">
        <v>-1.1708993400000001</v>
      </c>
      <c r="H165" s="7">
        <v>0.22558506240000001</v>
      </c>
      <c r="I165" s="7">
        <v>-1.0920507500000001</v>
      </c>
      <c r="J165" s="7">
        <v>-4.0974313179999999</v>
      </c>
      <c r="K165" s="7">
        <v>2.7269947917000001</v>
      </c>
      <c r="L165" s="7">
        <v>3.2693424167999998</v>
      </c>
      <c r="M165" s="7">
        <v>5.1867274637999996</v>
      </c>
      <c r="N165" s="7">
        <v>0.7825649227</v>
      </c>
      <c r="O165" s="7">
        <v>-0.86742357699999995</v>
      </c>
      <c r="P165" s="7">
        <v>2.3523064226999999</v>
      </c>
      <c r="S165"/>
    </row>
    <row r="166" spans="1:20" s="7" customFormat="1">
      <c r="A166" s="106" t="str">
        <f t="shared" si="8"/>
        <v>CP11TT 80° Flat Fan</v>
      </c>
      <c r="B166" s="7">
        <v>29.872593978000001</v>
      </c>
      <c r="C166" s="7">
        <v>-10.79485176</v>
      </c>
      <c r="D166" s="7">
        <v>12.155798097</v>
      </c>
      <c r="E166" s="7">
        <v>0.73894316510000002</v>
      </c>
      <c r="F166" s="7">
        <v>15.319930335</v>
      </c>
      <c r="G166" s="7">
        <v>-1.2548778089999999</v>
      </c>
      <c r="H166" s="7">
        <v>-0.74887885899999995</v>
      </c>
      <c r="I166" s="7">
        <v>-0.50838597900000004</v>
      </c>
      <c r="J166" s="7">
        <v>-1.0134294660000001</v>
      </c>
      <c r="K166" s="7">
        <v>3.2881384375999998</v>
      </c>
      <c r="L166" s="7">
        <v>1.2729758956999999</v>
      </c>
      <c r="M166" s="7">
        <v>10.106687041000001</v>
      </c>
      <c r="N166" s="7">
        <v>-0.21749602800000001</v>
      </c>
      <c r="O166" s="7">
        <v>-2.003109528</v>
      </c>
      <c r="P166" s="7">
        <v>2.1975658049</v>
      </c>
    </row>
    <row r="167" spans="1:20" s="7" customFormat="1">
      <c r="A167" s="106" t="str">
        <f t="shared" si="8"/>
        <v>CP03</v>
      </c>
      <c r="B167" s="7">
        <v>27.305631924</v>
      </c>
      <c r="C167" s="7">
        <v>-3.5129119950000001</v>
      </c>
      <c r="D167" s="7">
        <v>13.317529324000001</v>
      </c>
      <c r="E167" s="7">
        <v>0.95120833999999999</v>
      </c>
      <c r="F167" s="7">
        <v>9.4508503802000003</v>
      </c>
      <c r="G167" s="7">
        <v>-9.7858389000000004E-2</v>
      </c>
      <c r="H167" s="7">
        <v>-1.328085424</v>
      </c>
      <c r="I167" s="7">
        <v>-0.445111755</v>
      </c>
      <c r="J167" s="7">
        <v>-1.9850143899999999</v>
      </c>
      <c r="K167" s="7">
        <v>2.4449229194000002</v>
      </c>
      <c r="L167" s="7">
        <v>1.369307831</v>
      </c>
      <c r="M167" s="7">
        <v>0.50073483750000003</v>
      </c>
      <c r="N167" s="7">
        <v>1.3356986972</v>
      </c>
      <c r="O167" s="7">
        <v>-8.8525355E-2</v>
      </c>
      <c r="P167" s="7">
        <v>3.2837139288000001</v>
      </c>
    </row>
    <row r="168" spans="1:20" s="7" customFormat="1">
      <c r="A168" s="106" t="str">
        <f t="shared" si="8"/>
        <v>Steel Disc Core 45</v>
      </c>
      <c r="B168" s="7">
        <v>33.719451376000002</v>
      </c>
      <c r="C168" s="7">
        <v>-9.1711468519999997</v>
      </c>
      <c r="D168" s="7">
        <v>14.447118525</v>
      </c>
      <c r="E168" s="7">
        <v>0.48460255070000002</v>
      </c>
      <c r="F168" s="7">
        <v>8.5712196931999998</v>
      </c>
      <c r="G168" s="7">
        <v>1.0921590738</v>
      </c>
      <c r="H168" s="7">
        <v>-1.0550477000000001E-2</v>
      </c>
      <c r="I168" s="7">
        <v>-1.6726714789999999</v>
      </c>
      <c r="J168" s="7">
        <v>-4.0697504980000003</v>
      </c>
      <c r="K168" s="7">
        <v>2.8184170625</v>
      </c>
      <c r="L168" s="7">
        <v>1.5785591457999999</v>
      </c>
      <c r="M168" s="7">
        <v>6.2743914546999999</v>
      </c>
      <c r="N168" s="7">
        <v>1.3752614804000001</v>
      </c>
      <c r="O168" s="7">
        <v>0.50344031359999997</v>
      </c>
      <c r="P168" s="7">
        <v>3.8737119801</v>
      </c>
      <c r="S168"/>
      <c r="T168"/>
    </row>
    <row r="169" spans="1:20" s="7" customFormat="1">
      <c r="A169" s="106" t="str">
        <f t="shared" si="8"/>
        <v>Ceramic Disc Core 45</v>
      </c>
      <c r="B169" s="7">
        <v>34.900138249000001</v>
      </c>
      <c r="C169" s="7">
        <v>-9.8743770190000006</v>
      </c>
      <c r="D169" s="7">
        <v>14.673880351999999</v>
      </c>
      <c r="E169" s="7">
        <v>-1.7086704260000001</v>
      </c>
      <c r="F169" s="7">
        <v>11.567138055999999</v>
      </c>
      <c r="G169" s="7">
        <v>0.563932875</v>
      </c>
      <c r="H169" s="7">
        <v>1.2463992500000001</v>
      </c>
      <c r="I169" s="7">
        <v>-1.72037825</v>
      </c>
      <c r="J169" s="7">
        <v>-2.4210460829999998</v>
      </c>
      <c r="K169" s="7">
        <v>4.5756602500000003</v>
      </c>
      <c r="L169" s="7">
        <v>-0.474629042</v>
      </c>
      <c r="M169" s="7">
        <v>4.5730343210999997</v>
      </c>
      <c r="N169" s="7">
        <v>1.8325626544</v>
      </c>
      <c r="O169" s="7">
        <v>1.2491719878</v>
      </c>
      <c r="P169" s="7">
        <v>2.0272913210999999</v>
      </c>
      <c r="S169"/>
      <c r="T169"/>
    </row>
    <row r="170" spans="1:20" s="7" customFormat="1">
      <c r="A170" s="106" t="str">
        <f t="shared" si="8"/>
        <v>Standard 40° Flat Fan</v>
      </c>
      <c r="B170" s="7">
        <v>24.792544916000001</v>
      </c>
      <c r="C170" s="7">
        <v>-8.2813920190000001</v>
      </c>
      <c r="D170" s="7">
        <v>11.322816037000001</v>
      </c>
      <c r="E170" s="7">
        <v>0.45672280729999998</v>
      </c>
      <c r="F170" s="7">
        <v>20.43067791</v>
      </c>
      <c r="G170" s="7">
        <v>-0.97777162299999998</v>
      </c>
      <c r="H170" s="7">
        <v>0.49720904799999999</v>
      </c>
      <c r="I170" s="7">
        <v>-1.5481449380000001</v>
      </c>
      <c r="J170" s="7">
        <v>-6.3122706559999999</v>
      </c>
      <c r="K170" s="7">
        <v>4.0735804792000003</v>
      </c>
      <c r="L170" s="7">
        <v>1.8665340625</v>
      </c>
      <c r="M170" s="7">
        <v>5.7927197038999996</v>
      </c>
      <c r="N170" s="7">
        <v>2.5080823436999999</v>
      </c>
      <c r="O170" s="7">
        <v>0.15466951039999999</v>
      </c>
      <c r="P170" s="7">
        <v>2.9872741772000002</v>
      </c>
    </row>
    <row r="171" spans="1:20" s="7" customFormat="1">
      <c r="A171" s="106" t="str">
        <f t="shared" si="8"/>
        <v>Standard 80° Flat Fan</v>
      </c>
      <c r="B171" s="7">
        <v>27.988364766</v>
      </c>
      <c r="C171" s="7">
        <v>-9.1986569629999995</v>
      </c>
      <c r="D171" s="7">
        <v>11.436174689</v>
      </c>
      <c r="E171" s="7">
        <v>1.1650167360999999</v>
      </c>
      <c r="F171" s="7">
        <v>18.809952195000001</v>
      </c>
      <c r="G171" s="7">
        <v>-0.72002882499999998</v>
      </c>
      <c r="H171" s="7">
        <v>-0.122631242</v>
      </c>
      <c r="I171" s="7">
        <v>-1.7406920210000001</v>
      </c>
      <c r="J171" s="7">
        <v>-3.960437786</v>
      </c>
      <c r="K171" s="7">
        <v>3.8440263957999998</v>
      </c>
      <c r="L171" s="7">
        <v>1.4013609375</v>
      </c>
      <c r="M171" s="7">
        <v>7.6595145375999998</v>
      </c>
      <c r="N171" s="7">
        <v>1.6463956222</v>
      </c>
      <c r="O171" s="7">
        <v>0.64389912240000002</v>
      </c>
      <c r="P171" s="7">
        <v>2.8068392892</v>
      </c>
      <c r="S171"/>
      <c r="T171"/>
    </row>
    <row r="172" spans="1:20" s="7" customFormat="1">
      <c r="A172" s="106" t="str">
        <f t="shared" si="8"/>
        <v>CP09</v>
      </c>
      <c r="B172" s="7">
        <v>22.0011087</v>
      </c>
      <c r="C172" s="7">
        <v>-1.751858471</v>
      </c>
      <c r="D172" s="7">
        <v>10.108090443</v>
      </c>
      <c r="E172" s="7">
        <v>-0.79084328400000004</v>
      </c>
      <c r="F172" s="7">
        <v>7.8515466736999997</v>
      </c>
      <c r="G172" s="7">
        <v>-0.24864044900000001</v>
      </c>
      <c r="H172" s="7">
        <v>-0.73136021900000003</v>
      </c>
      <c r="I172" s="7">
        <v>0.35959458929999999</v>
      </c>
      <c r="J172" s="7">
        <v>-2.8401978570000002</v>
      </c>
      <c r="K172" s="7">
        <v>1.9711466855999999</v>
      </c>
      <c r="L172" s="7">
        <v>0.33241622320000003</v>
      </c>
      <c r="M172" s="7">
        <v>-7.5040024999999996E-2</v>
      </c>
      <c r="N172" s="7">
        <v>2.2428702985000002</v>
      </c>
      <c r="O172" s="7">
        <v>-0.29144779900000001</v>
      </c>
      <c r="P172" s="7">
        <v>-4.4409780190000001</v>
      </c>
    </row>
    <row r="173" spans="1:20" s="7" customFormat="1">
      <c r="A173" s="106" t="str">
        <f t="shared" si="8"/>
        <v>CP11TT Straight Stream</v>
      </c>
      <c r="B173" s="7">
        <v>13.467137880999999</v>
      </c>
      <c r="C173" s="7">
        <v>9.6768166700000005E-2</v>
      </c>
      <c r="D173" s="7">
        <v>9.5247523519000001</v>
      </c>
      <c r="E173" s="7">
        <v>-2.0309456109999999</v>
      </c>
      <c r="F173" s="7">
        <v>8.6566396296000008</v>
      </c>
      <c r="G173" s="7">
        <v>0.21534402080000001</v>
      </c>
      <c r="H173" s="7">
        <v>0.32725697920000002</v>
      </c>
      <c r="I173" s="7">
        <v>-0.90067610399999998</v>
      </c>
      <c r="J173" s="7">
        <v>-1.9337851880000001</v>
      </c>
      <c r="K173" s="7">
        <v>2.9543699792</v>
      </c>
      <c r="L173" s="7">
        <v>0.87802593750000002</v>
      </c>
      <c r="M173" s="7">
        <v>-0.28748941700000002</v>
      </c>
      <c r="N173" s="7">
        <v>1.5207559163</v>
      </c>
      <c r="O173" s="7">
        <v>0.48895124940000001</v>
      </c>
      <c r="P173" s="7">
        <v>2.4402414162000001</v>
      </c>
    </row>
    <row r="174" spans="1:20" s="7" customFormat="1">
      <c r="A174" s="106" t="str">
        <f t="shared" si="8"/>
        <v>Disc Core Straight Stream</v>
      </c>
      <c r="B174" s="7">
        <v>12.206417237</v>
      </c>
      <c r="C174" s="7">
        <v>-0.44046575900000001</v>
      </c>
      <c r="D174" s="7">
        <v>9.5579343148000007</v>
      </c>
      <c r="E174" s="7">
        <v>-1.7795723889999999</v>
      </c>
      <c r="F174" s="7">
        <v>8.7307193703999992</v>
      </c>
      <c r="G174" s="7">
        <v>0.42043775</v>
      </c>
      <c r="H174" s="7">
        <v>0.50986058329999995</v>
      </c>
      <c r="I174" s="7">
        <v>-0.66044304200000004</v>
      </c>
      <c r="J174" s="7">
        <v>-3.3838105000000001</v>
      </c>
      <c r="K174" s="7">
        <v>2.4737972083000002</v>
      </c>
      <c r="L174" s="7">
        <v>0.61152062500000004</v>
      </c>
      <c r="M174" s="7">
        <v>3.5552428898000001</v>
      </c>
      <c r="N174" s="7">
        <v>1.2024932232000001</v>
      </c>
      <c r="O174" s="7">
        <v>9.6236889800000003E-2</v>
      </c>
      <c r="P174" s="7">
        <v>1.4168393898</v>
      </c>
      <c r="S174"/>
      <c r="T174"/>
    </row>
    <row r="175" spans="1:20" s="7" customFormat="1">
      <c r="A175" s="106" t="str">
        <f t="shared" si="8"/>
        <v>Davidon TriSet</v>
      </c>
      <c r="B175" s="7">
        <v>17.709860369000001</v>
      </c>
      <c r="C175" s="7">
        <v>0.77911371650000005</v>
      </c>
      <c r="D175" s="7">
        <v>9.7332762429000006</v>
      </c>
      <c r="E175" s="7">
        <v>-1.85634655</v>
      </c>
      <c r="F175" s="7">
        <v>11.693964519</v>
      </c>
      <c r="G175" s="7">
        <v>0.15147020359999999</v>
      </c>
      <c r="H175" s="7">
        <v>0.83992828100000005</v>
      </c>
      <c r="I175" s="7">
        <v>-0.80186146800000002</v>
      </c>
      <c r="J175" s="7">
        <v>-0.57393024400000003</v>
      </c>
      <c r="K175" s="7">
        <v>2.6753852265</v>
      </c>
      <c r="L175" s="7">
        <v>1.4351606342000001</v>
      </c>
      <c r="M175" s="7">
        <v>1.5519123668999999</v>
      </c>
      <c r="N175" s="7">
        <v>1.03122863</v>
      </c>
      <c r="O175" s="7">
        <v>-0.55331229500000001</v>
      </c>
      <c r="P175" s="7">
        <v>0.40461112999999999</v>
      </c>
      <c r="S175"/>
    </row>
    <row r="176" spans="1:20" s="7" customFormat="1">
      <c r="A176" s="106" t="str">
        <f t="shared" si="8"/>
        <v>CP11TT 60° Flat Fan</v>
      </c>
      <c r="B176" s="7">
        <v>30.896711667000002</v>
      </c>
      <c r="C176" s="7">
        <v>14.425952475000001</v>
      </c>
      <c r="D176" s="7">
        <v>0</v>
      </c>
      <c r="E176" s="7">
        <v>-0.32464462500000002</v>
      </c>
      <c r="F176" s="7">
        <v>12.673626225</v>
      </c>
      <c r="G176" s="7">
        <v>0</v>
      </c>
      <c r="H176" s="7">
        <v>0</v>
      </c>
      <c r="I176" s="7">
        <v>-4.8173428999999997E-2</v>
      </c>
      <c r="J176" s="7">
        <v>0</v>
      </c>
      <c r="K176" s="7">
        <v>2.6293384249999998</v>
      </c>
      <c r="L176" s="7">
        <v>0.62246717920000005</v>
      </c>
      <c r="M176" s="7">
        <v>0</v>
      </c>
      <c r="N176" s="7">
        <v>2.7897091708000001</v>
      </c>
      <c r="O176" s="7">
        <v>-0.26557626699999998</v>
      </c>
      <c r="P176" s="42">
        <v>-1.436830413</v>
      </c>
      <c r="S176"/>
    </row>
    <row r="177" spans="1:19" s="7" customFormat="1">
      <c r="A177" s="106" t="str">
        <f t="shared" si="8"/>
        <v>TeeJet SS</v>
      </c>
      <c r="B177">
        <v>6.3701122021045702</v>
      </c>
      <c r="C177">
        <v>0.66912069228556503</v>
      </c>
      <c r="D177">
        <v>7.7709127999082801</v>
      </c>
      <c r="E177">
        <v>-3.2552051818758301</v>
      </c>
      <c r="F177">
        <v>0</v>
      </c>
      <c r="G177">
        <v>0.39570739090982099</v>
      </c>
      <c r="H177">
        <v>1.53947237545662E-2</v>
      </c>
      <c r="I177">
        <v>-2.38599158011721</v>
      </c>
      <c r="J177">
        <v>0</v>
      </c>
      <c r="K177">
        <v>0</v>
      </c>
      <c r="L177">
        <v>0</v>
      </c>
      <c r="M177">
        <v>0.21849034082504601</v>
      </c>
      <c r="N177">
        <v>2.33959463903444</v>
      </c>
      <c r="O177">
        <v>1.01540542595927</v>
      </c>
      <c r="P177">
        <v>0</v>
      </c>
      <c r="S177"/>
    </row>
    <row r="178" spans="1:19" s="7" customFormat="1">
      <c r="A178" s="106" t="str">
        <f t="shared" si="8"/>
        <v>TeeJet H1 4U</v>
      </c>
      <c r="B178">
        <v>5.6319425675630503</v>
      </c>
      <c r="C178">
        <v>0.74567575487929705</v>
      </c>
      <c r="D178">
        <v>6.2887260094069104</v>
      </c>
      <c r="E178">
        <v>-2.92007663251341</v>
      </c>
      <c r="F178">
        <v>0</v>
      </c>
      <c r="G178">
        <v>0.89228240233125899</v>
      </c>
      <c r="H178">
        <v>-0.58881957414436903</v>
      </c>
      <c r="I178">
        <v>-2.0161139743966099</v>
      </c>
      <c r="J178">
        <v>0</v>
      </c>
      <c r="K178">
        <v>0</v>
      </c>
      <c r="L178">
        <v>0</v>
      </c>
      <c r="M178">
        <v>-0.847785942862891</v>
      </c>
      <c r="N178">
        <v>1.72232848054264</v>
      </c>
      <c r="O178">
        <v>0.70097140910345401</v>
      </c>
      <c r="P178">
        <v>0</v>
      </c>
    </row>
    <row r="179" spans="1:19" s="7" customFormat="1">
      <c r="A179" s="194"/>
      <c r="P179" s="42"/>
    </row>
    <row r="180" spans="1:19" s="7" customFormat="1">
      <c r="A180" s="194"/>
      <c r="P180" s="42"/>
    </row>
    <row r="181" spans="1:19" s="7" customFormat="1" ht="14" thickBot="1">
      <c r="A181" s="19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5"/>
    </row>
    <row r="182" spans="1:19" s="7" customFormat="1" ht="14" thickBot="1"/>
    <row r="183" spans="1:19" s="7" customFormat="1" ht="14" thickBot="1">
      <c r="A183" s="46" t="s">
        <v>28</v>
      </c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40"/>
    </row>
    <row r="184" spans="1:19" s="7" customFormat="1">
      <c r="A184" s="100" t="str">
        <f>A2</f>
        <v>CP11TT 20° Flat Fan</v>
      </c>
      <c r="B184" s="51" t="s">
        <v>83</v>
      </c>
      <c r="C184" s="51">
        <v>4</v>
      </c>
      <c r="D184" s="51">
        <v>6</v>
      </c>
      <c r="E184" s="51">
        <v>8</v>
      </c>
      <c r="F184" s="51">
        <v>10</v>
      </c>
      <c r="G184" s="51">
        <v>12</v>
      </c>
      <c r="H184" s="51">
        <v>15</v>
      </c>
      <c r="I184" s="51">
        <v>20</v>
      </c>
      <c r="J184" s="51"/>
      <c r="K184" s="51"/>
      <c r="L184" s="51"/>
      <c r="M184" s="51"/>
      <c r="N184" s="51"/>
      <c r="O184" s="51"/>
      <c r="P184" s="52"/>
    </row>
    <row r="185" spans="1:19" s="7" customFormat="1">
      <c r="A185" s="100" t="str">
        <f t="shared" ref="A185:A198" si="9">A3</f>
        <v>CP11TT 40° Flat Fan</v>
      </c>
      <c r="B185" s="7" t="s">
        <v>84</v>
      </c>
      <c r="C185" s="7">
        <v>4</v>
      </c>
      <c r="D185" s="7">
        <v>6</v>
      </c>
      <c r="E185" s="7">
        <v>8</v>
      </c>
      <c r="F185" s="7">
        <v>10</v>
      </c>
      <c r="G185" s="7">
        <v>12</v>
      </c>
      <c r="H185" s="7">
        <v>15</v>
      </c>
      <c r="I185" s="7">
        <v>20</v>
      </c>
      <c r="J185" s="7">
        <v>25</v>
      </c>
      <c r="K185" s="7">
        <v>30</v>
      </c>
      <c r="P185" s="42"/>
    </row>
    <row r="186" spans="1:19" s="7" customFormat="1">
      <c r="A186" s="100" t="str">
        <f t="shared" si="9"/>
        <v>CP11TT 80° Flat Fan</v>
      </c>
      <c r="B186" s="7" t="s">
        <v>95</v>
      </c>
      <c r="C186" s="7">
        <v>2</v>
      </c>
      <c r="D186" s="7">
        <v>3</v>
      </c>
      <c r="E186" s="7">
        <v>4</v>
      </c>
      <c r="F186" s="7">
        <v>5</v>
      </c>
      <c r="G186" s="7">
        <v>6</v>
      </c>
      <c r="H186" s="7">
        <v>8</v>
      </c>
      <c r="I186" s="7">
        <v>10</v>
      </c>
      <c r="J186" s="7">
        <v>12</v>
      </c>
      <c r="K186" s="7">
        <v>15</v>
      </c>
      <c r="L186" s="7">
        <v>20</v>
      </c>
      <c r="M186" s="7">
        <v>25</v>
      </c>
      <c r="N186" s="7">
        <v>30</v>
      </c>
      <c r="P186" s="42"/>
    </row>
    <row r="187" spans="1:19" s="7" customFormat="1">
      <c r="A187" s="100" t="str">
        <f t="shared" si="9"/>
        <v>CP03</v>
      </c>
      <c r="B187" t="s">
        <v>97</v>
      </c>
      <c r="C187" s="7">
        <v>6.2E-2</v>
      </c>
      <c r="D187" s="7">
        <v>7.8E-2</v>
      </c>
      <c r="E187" s="7">
        <v>0.125</v>
      </c>
      <c r="F187" s="7">
        <v>0.17199999999999999</v>
      </c>
      <c r="P187" s="42"/>
    </row>
    <row r="188" spans="1:19" s="7" customFormat="1">
      <c r="A188" s="100" t="str">
        <f t="shared" si="9"/>
        <v>Steel Disc Core 45</v>
      </c>
      <c r="B188" s="7" t="s">
        <v>86</v>
      </c>
      <c r="C188" s="7">
        <v>2</v>
      </c>
      <c r="D188" s="7">
        <v>4</v>
      </c>
      <c r="E188" s="7">
        <v>6</v>
      </c>
      <c r="F188" s="7">
        <v>8</v>
      </c>
      <c r="G188" s="7">
        <v>10</v>
      </c>
      <c r="H188" s="7">
        <v>12</v>
      </c>
      <c r="I188" s="7">
        <v>14</v>
      </c>
      <c r="J188" s="7">
        <v>16</v>
      </c>
      <c r="P188" s="42"/>
    </row>
    <row r="189" spans="1:19" s="7" customFormat="1">
      <c r="A189" s="100" t="str">
        <f t="shared" si="9"/>
        <v>Ceramic Disc Core 45</v>
      </c>
      <c r="B189" s="7" t="s">
        <v>87</v>
      </c>
      <c r="C189" s="7">
        <v>2</v>
      </c>
      <c r="D189" s="7">
        <v>4</v>
      </c>
      <c r="E189" s="7">
        <v>6</v>
      </c>
      <c r="F189" s="7">
        <v>8</v>
      </c>
      <c r="G189" s="7">
        <v>10</v>
      </c>
      <c r="P189" s="42"/>
    </row>
    <row r="190" spans="1:19" s="7" customFormat="1">
      <c r="A190" s="100" t="str">
        <f t="shared" si="9"/>
        <v>Standard 40° Flat Fan</v>
      </c>
      <c r="B190" s="7" t="s">
        <v>95</v>
      </c>
      <c r="C190" s="7">
        <v>2</v>
      </c>
      <c r="D190" s="7">
        <v>4</v>
      </c>
      <c r="E190" s="7">
        <v>6</v>
      </c>
      <c r="F190" s="7">
        <v>8</v>
      </c>
      <c r="G190" s="7">
        <v>10</v>
      </c>
      <c r="H190" s="7">
        <v>12</v>
      </c>
      <c r="I190" s="7">
        <v>15</v>
      </c>
      <c r="J190" s="7">
        <v>20</v>
      </c>
      <c r="K190" s="7">
        <v>30</v>
      </c>
      <c r="P190" s="42"/>
    </row>
    <row r="191" spans="1:19" s="7" customFormat="1">
      <c r="A191" s="100" t="str">
        <f t="shared" si="9"/>
        <v>Standard 80° Flat Fan</v>
      </c>
      <c r="B191" s="7" t="s">
        <v>95</v>
      </c>
      <c r="C191" s="7">
        <v>2</v>
      </c>
      <c r="D191" s="7">
        <v>4</v>
      </c>
      <c r="E191" s="7">
        <v>6</v>
      </c>
      <c r="F191" s="7">
        <v>8</v>
      </c>
      <c r="G191" s="7">
        <v>10</v>
      </c>
      <c r="H191" s="7">
        <v>12</v>
      </c>
      <c r="I191" s="7">
        <v>15</v>
      </c>
      <c r="J191" s="7">
        <v>20</v>
      </c>
      <c r="K191" s="7">
        <v>30</v>
      </c>
      <c r="P191" s="42"/>
    </row>
    <row r="192" spans="1:19" s="7" customFormat="1">
      <c r="A192" s="100" t="str">
        <f t="shared" si="9"/>
        <v>CP09</v>
      </c>
      <c r="B192" s="7" t="s">
        <v>97</v>
      </c>
      <c r="C192" s="7">
        <v>6.2E-2</v>
      </c>
      <c r="D192" s="7">
        <v>7.8E-2</v>
      </c>
      <c r="E192" s="7">
        <v>0.125</v>
      </c>
      <c r="F192" s="7">
        <v>0.17199999999999999</v>
      </c>
      <c r="P192" s="42"/>
    </row>
    <row r="193" spans="1:16" s="7" customFormat="1">
      <c r="A193" s="100" t="str">
        <f t="shared" si="9"/>
        <v>CP11TT Straight Stream</v>
      </c>
      <c r="B193" s="7" t="s">
        <v>99</v>
      </c>
      <c r="C193" s="7">
        <v>6</v>
      </c>
      <c r="D193" s="7">
        <v>8</v>
      </c>
      <c r="E193" s="7">
        <v>10</v>
      </c>
      <c r="F193" s="7">
        <v>12</v>
      </c>
      <c r="G193" s="7">
        <v>15</v>
      </c>
      <c r="H193" s="7">
        <v>20</v>
      </c>
      <c r="I193" s="7">
        <v>25</v>
      </c>
      <c r="P193" s="42"/>
    </row>
    <row r="194" spans="1:16" s="7" customFormat="1">
      <c r="A194" s="100" t="str">
        <f t="shared" si="9"/>
        <v>Disc Core Straight Stream</v>
      </c>
      <c r="B194" s="7" t="s">
        <v>101</v>
      </c>
      <c r="C194" s="7">
        <v>2</v>
      </c>
      <c r="D194" s="7">
        <v>3</v>
      </c>
      <c r="E194" s="7">
        <v>4</v>
      </c>
      <c r="F194" s="7">
        <v>5</v>
      </c>
      <c r="G194" s="7">
        <v>6</v>
      </c>
      <c r="H194" s="7">
        <v>7</v>
      </c>
      <c r="I194" s="7">
        <v>8</v>
      </c>
      <c r="J194" s="7">
        <v>10</v>
      </c>
      <c r="K194" s="7">
        <v>12</v>
      </c>
      <c r="P194" s="42"/>
    </row>
    <row r="195" spans="1:16" s="7" customFormat="1">
      <c r="A195" s="100" t="str">
        <f t="shared" si="9"/>
        <v>Davidon TriSet</v>
      </c>
      <c r="B195" t="s">
        <v>116</v>
      </c>
      <c r="C195" s="7">
        <v>6.0999999999999999E-2</v>
      </c>
      <c r="D195" s="7">
        <v>7.8E-2</v>
      </c>
      <c r="E195" s="7">
        <v>0.125</v>
      </c>
      <c r="P195" s="42"/>
    </row>
    <row r="196" spans="1:16" s="7" customFormat="1">
      <c r="A196" s="100" t="str">
        <f t="shared" si="9"/>
        <v>CP11TT 60° Flat Fan</v>
      </c>
      <c r="B196" s="195">
        <v>40</v>
      </c>
      <c r="C196" s="195">
        <v>40</v>
      </c>
      <c r="D196" s="195"/>
      <c r="E196" s="195"/>
      <c r="F196" s="195"/>
      <c r="G196" s="195"/>
      <c r="H196" s="195"/>
      <c r="I196" s="195"/>
      <c r="J196" s="195"/>
      <c r="P196" s="42"/>
    </row>
    <row r="197" spans="1:16" s="7" customFormat="1">
      <c r="A197" s="100" t="str">
        <f t="shared" si="9"/>
        <v>TeeJet SS</v>
      </c>
      <c r="B197" s="195" t="s">
        <v>153</v>
      </c>
      <c r="C197" s="195">
        <v>2</v>
      </c>
      <c r="D197" s="196">
        <v>3</v>
      </c>
      <c r="E197" s="195">
        <v>4</v>
      </c>
      <c r="F197" s="195">
        <v>6</v>
      </c>
      <c r="G197" s="195">
        <v>8</v>
      </c>
      <c r="H197" s="195">
        <v>10</v>
      </c>
      <c r="I197" s="195">
        <v>12</v>
      </c>
      <c r="J197" s="195">
        <v>15</v>
      </c>
      <c r="K197" s="195">
        <v>20</v>
      </c>
      <c r="P197" s="42"/>
    </row>
    <row r="198" spans="1:16" s="7" customFormat="1">
      <c r="A198" s="100" t="str">
        <f t="shared" si="9"/>
        <v>TeeJet H1 4U</v>
      </c>
      <c r="B198" s="7" t="s">
        <v>153</v>
      </c>
      <c r="C198" s="7">
        <v>2</v>
      </c>
      <c r="D198" s="196">
        <v>3</v>
      </c>
      <c r="E198" s="7">
        <v>4</v>
      </c>
      <c r="F198" s="7">
        <v>6</v>
      </c>
      <c r="G198" s="7">
        <v>8</v>
      </c>
      <c r="H198" s="7">
        <v>10</v>
      </c>
      <c r="I198" s="7">
        <v>12</v>
      </c>
      <c r="J198" s="7">
        <v>15</v>
      </c>
      <c r="K198" s="7">
        <v>20</v>
      </c>
      <c r="P198" s="42"/>
    </row>
    <row r="199" spans="1:16" s="7" customFormat="1" ht="14">
      <c r="A199" s="41"/>
      <c r="P199" s="42"/>
    </row>
    <row r="200" spans="1:16" s="7" customFormat="1" ht="14">
      <c r="A200" s="41"/>
      <c r="P200" s="42"/>
    </row>
    <row r="201" spans="1:16" s="7" customFormat="1" ht="14">
      <c r="A201" s="41"/>
      <c r="P201" s="42"/>
    </row>
    <row r="202" spans="1:16" s="7" customFormat="1" ht="15" thickBot="1">
      <c r="A202" s="43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5"/>
    </row>
    <row r="203" spans="1:16" s="7" customFormat="1" ht="14" thickBot="1"/>
    <row r="204" spans="1:16" s="7" customFormat="1" ht="14" thickBot="1">
      <c r="A204" s="46" t="s">
        <v>29</v>
      </c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40"/>
    </row>
    <row r="205" spans="1:16" s="7" customFormat="1">
      <c r="A205" s="100" t="str">
        <f>A2</f>
        <v>CP11TT 20° Flat Fan</v>
      </c>
      <c r="B205" s="7" t="s">
        <v>111</v>
      </c>
      <c r="C205" s="7">
        <v>0</v>
      </c>
      <c r="D205" s="7">
        <v>15</v>
      </c>
      <c r="E205" s="7">
        <v>30</v>
      </c>
      <c r="F205" s="7">
        <v>45</v>
      </c>
      <c r="G205" s="7">
        <v>60</v>
      </c>
      <c r="H205" s="7">
        <v>75</v>
      </c>
      <c r="I205" s="7">
        <v>90</v>
      </c>
      <c r="P205" s="42" t="s">
        <v>45</v>
      </c>
    </row>
    <row r="206" spans="1:16" s="7" customFormat="1">
      <c r="A206" s="100" t="str">
        <f t="shared" ref="A206:A219" si="10">A3</f>
        <v>CP11TT 40° Flat Fan</v>
      </c>
      <c r="B206" s="7" t="s">
        <v>111</v>
      </c>
      <c r="C206" s="7">
        <v>0</v>
      </c>
      <c r="D206" s="7">
        <v>15</v>
      </c>
      <c r="E206" s="7">
        <v>30</v>
      </c>
      <c r="F206" s="7">
        <v>45</v>
      </c>
      <c r="G206" s="7">
        <v>60</v>
      </c>
      <c r="H206" s="7">
        <v>75</v>
      </c>
      <c r="I206" s="7">
        <v>90</v>
      </c>
      <c r="P206" s="42" t="s">
        <v>45</v>
      </c>
    </row>
    <row r="207" spans="1:16" s="7" customFormat="1">
      <c r="A207" s="100" t="str">
        <f t="shared" si="10"/>
        <v>CP11TT 80° Flat Fan</v>
      </c>
      <c r="B207" s="7" t="s">
        <v>111</v>
      </c>
      <c r="C207" s="7">
        <v>0</v>
      </c>
      <c r="D207" s="7">
        <v>15</v>
      </c>
      <c r="E207" s="7">
        <v>30</v>
      </c>
      <c r="F207" s="7">
        <v>45</v>
      </c>
      <c r="G207" s="7">
        <v>60</v>
      </c>
      <c r="H207" s="7">
        <v>75</v>
      </c>
      <c r="I207" s="7">
        <v>90</v>
      </c>
      <c r="P207" s="42" t="s">
        <v>45</v>
      </c>
    </row>
    <row r="208" spans="1:16" s="7" customFormat="1">
      <c r="A208" s="100" t="str">
        <f t="shared" si="10"/>
        <v>CP03</v>
      </c>
      <c r="B208" s="7" t="s">
        <v>85</v>
      </c>
      <c r="C208" s="7">
        <v>30</v>
      </c>
      <c r="D208" s="7">
        <v>55</v>
      </c>
      <c r="E208" s="7">
        <v>90</v>
      </c>
      <c r="P208" s="42" t="s">
        <v>115</v>
      </c>
    </row>
    <row r="209" spans="1:16" s="7" customFormat="1">
      <c r="A209" s="100" t="str">
        <f t="shared" si="10"/>
        <v>Steel Disc Core 45</v>
      </c>
      <c r="B209" s="7" t="s">
        <v>32</v>
      </c>
      <c r="C209" s="7">
        <v>0</v>
      </c>
      <c r="D209" s="7">
        <v>15</v>
      </c>
      <c r="E209" s="7">
        <v>30</v>
      </c>
      <c r="F209" s="7">
        <v>45</v>
      </c>
      <c r="G209" s="7">
        <v>60</v>
      </c>
      <c r="H209" s="7">
        <v>75</v>
      </c>
      <c r="I209" s="7">
        <v>90</v>
      </c>
      <c r="P209" s="42" t="s">
        <v>45</v>
      </c>
    </row>
    <row r="210" spans="1:16" s="7" customFormat="1">
      <c r="A210" s="100" t="str">
        <f t="shared" si="10"/>
        <v>Ceramic Disc Core 45</v>
      </c>
      <c r="B210" s="7" t="s">
        <v>32</v>
      </c>
      <c r="C210" s="7">
        <v>0</v>
      </c>
      <c r="D210" s="7">
        <v>15</v>
      </c>
      <c r="E210" s="7">
        <v>30</v>
      </c>
      <c r="F210" s="7">
        <v>45</v>
      </c>
      <c r="G210" s="7">
        <v>60</v>
      </c>
      <c r="H210" s="7">
        <v>75</v>
      </c>
      <c r="I210" s="7">
        <v>90</v>
      </c>
      <c r="P210" s="42" t="s">
        <v>45</v>
      </c>
    </row>
    <row r="211" spans="1:16" s="7" customFormat="1">
      <c r="A211" s="100" t="str">
        <f t="shared" si="10"/>
        <v>Standard 40° Flat Fan</v>
      </c>
      <c r="B211" s="7" t="s">
        <v>32</v>
      </c>
      <c r="C211" s="7">
        <v>0</v>
      </c>
      <c r="D211" s="7">
        <v>15</v>
      </c>
      <c r="E211" s="7">
        <v>30</v>
      </c>
      <c r="F211" s="7">
        <v>45</v>
      </c>
      <c r="G211" s="7">
        <v>60</v>
      </c>
      <c r="H211" s="7">
        <v>75</v>
      </c>
      <c r="I211" s="7">
        <v>90</v>
      </c>
      <c r="P211" s="42" t="s">
        <v>45</v>
      </c>
    </row>
    <row r="212" spans="1:16" s="7" customFormat="1">
      <c r="A212" s="100" t="str">
        <f t="shared" si="10"/>
        <v>Standard 80° Flat Fan</v>
      </c>
      <c r="B212" s="7" t="s">
        <v>32</v>
      </c>
      <c r="C212" s="7">
        <v>0</v>
      </c>
      <c r="D212" s="7">
        <v>15</v>
      </c>
      <c r="E212" s="7">
        <v>30</v>
      </c>
      <c r="F212" s="7">
        <v>45</v>
      </c>
      <c r="G212" s="7">
        <v>60</v>
      </c>
      <c r="H212" s="7">
        <v>75</v>
      </c>
      <c r="I212" s="7">
        <v>90</v>
      </c>
      <c r="P212" s="42" t="s">
        <v>45</v>
      </c>
    </row>
    <row r="213" spans="1:16" s="7" customFormat="1">
      <c r="A213" s="100" t="str">
        <f t="shared" si="10"/>
        <v>CP09</v>
      </c>
      <c r="B213" s="7" t="s">
        <v>85</v>
      </c>
      <c r="C213" s="7">
        <v>0</v>
      </c>
      <c r="D213" s="7">
        <v>5</v>
      </c>
      <c r="E213" s="7">
        <v>30</v>
      </c>
      <c r="P213" s="42" t="s">
        <v>103</v>
      </c>
    </row>
    <row r="214" spans="1:16" s="7" customFormat="1">
      <c r="A214" s="100" t="str">
        <f t="shared" si="10"/>
        <v>CP11TT Straight Stream</v>
      </c>
      <c r="B214" s="7" t="s">
        <v>111</v>
      </c>
      <c r="C214" s="7">
        <v>0</v>
      </c>
      <c r="D214" s="7">
        <v>15</v>
      </c>
      <c r="E214" s="7">
        <v>30</v>
      </c>
      <c r="F214" s="7">
        <v>45</v>
      </c>
      <c r="P214" s="42" t="s">
        <v>100</v>
      </c>
    </row>
    <row r="215" spans="1:16" s="7" customFormat="1">
      <c r="A215" s="100" t="str">
        <f t="shared" si="10"/>
        <v>Disc Core Straight Stream</v>
      </c>
      <c r="B215" s="7" t="s">
        <v>32</v>
      </c>
      <c r="C215" s="7">
        <v>0</v>
      </c>
      <c r="D215" s="7">
        <v>15</v>
      </c>
      <c r="E215" s="7">
        <v>30</v>
      </c>
      <c r="F215" s="7">
        <v>45</v>
      </c>
      <c r="P215" s="42" t="s">
        <v>100</v>
      </c>
    </row>
    <row r="216" spans="1:16" s="7" customFormat="1">
      <c r="A216" s="100" t="str">
        <f t="shared" si="10"/>
        <v>Davidon TriSet</v>
      </c>
      <c r="B216" s="7" t="s">
        <v>32</v>
      </c>
      <c r="C216" s="7">
        <v>0</v>
      </c>
      <c r="D216" s="7">
        <v>22.5</v>
      </c>
      <c r="E216" s="7">
        <v>45</v>
      </c>
      <c r="P216" s="42" t="s">
        <v>100</v>
      </c>
    </row>
    <row r="217" spans="1:16" s="7" customFormat="1">
      <c r="A217" s="100" t="str">
        <f t="shared" si="10"/>
        <v>CP11TT 60° Flat Fan</v>
      </c>
      <c r="B217" s="7" t="s">
        <v>111</v>
      </c>
      <c r="C217" s="7">
        <v>0</v>
      </c>
      <c r="D217" s="7">
        <v>15</v>
      </c>
      <c r="E217" s="7">
        <v>30</v>
      </c>
      <c r="F217" s="7">
        <v>45</v>
      </c>
      <c r="G217" s="7">
        <v>60</v>
      </c>
      <c r="H217" s="7">
        <v>75</v>
      </c>
      <c r="I217" s="7">
        <v>90</v>
      </c>
      <c r="P217" s="42" t="s">
        <v>45</v>
      </c>
    </row>
    <row r="218" spans="1:16" s="7" customFormat="1">
      <c r="A218" s="100" t="str">
        <f t="shared" si="10"/>
        <v>TeeJet SS</v>
      </c>
      <c r="B218" s="7" t="s">
        <v>111</v>
      </c>
      <c r="C218" s="7">
        <v>0</v>
      </c>
      <c r="P218" s="42"/>
    </row>
    <row r="219" spans="1:16" s="7" customFormat="1">
      <c r="A219" s="100" t="str">
        <f t="shared" si="10"/>
        <v>TeeJet H1 4U</v>
      </c>
      <c r="B219" s="7" t="s">
        <v>111</v>
      </c>
      <c r="C219" s="7">
        <v>0</v>
      </c>
      <c r="P219" s="42"/>
    </row>
    <row r="220" spans="1:16" s="7" customFormat="1" ht="14">
      <c r="A220" s="41"/>
      <c r="P220" s="42"/>
    </row>
    <row r="221" spans="1:16" s="7" customFormat="1" ht="14">
      <c r="A221" s="41"/>
      <c r="P221" s="42"/>
    </row>
    <row r="222" spans="1:16" s="7" customFormat="1" ht="14">
      <c r="A222" s="41"/>
      <c r="P222" s="42"/>
    </row>
    <row r="223" spans="1:16" s="7" customFormat="1" ht="15" thickBot="1">
      <c r="A223" s="43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5"/>
    </row>
    <row r="224" spans="1:16" s="7" customFormat="1" ht="14" thickBot="1"/>
    <row r="225" spans="1:16" ht="14" thickBot="1">
      <c r="A225" s="46" t="s">
        <v>30</v>
      </c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40"/>
    </row>
    <row r="226" spans="1:16">
      <c r="A226" s="100" t="str">
        <f>A2</f>
        <v>CP11TT 20° Flat Fan</v>
      </c>
      <c r="B226" s="51">
        <v>120</v>
      </c>
      <c r="C226" s="51">
        <v>125</v>
      </c>
      <c r="D226" s="51">
        <v>130</v>
      </c>
      <c r="E226" s="51">
        <v>135</v>
      </c>
      <c r="F226" s="51">
        <v>140</v>
      </c>
      <c r="G226" s="51">
        <v>145</v>
      </c>
      <c r="H226" s="51">
        <v>150</v>
      </c>
      <c r="I226" s="51">
        <v>155</v>
      </c>
      <c r="J226" s="51">
        <v>160</v>
      </c>
      <c r="K226" s="51">
        <v>165</v>
      </c>
      <c r="L226" s="51">
        <v>170</v>
      </c>
      <c r="M226" s="51">
        <v>175</v>
      </c>
      <c r="N226" s="51">
        <v>180</v>
      </c>
      <c r="O226" s="51"/>
      <c r="P226" s="52"/>
    </row>
    <row r="227" spans="1:16">
      <c r="A227" s="100" t="str">
        <f t="shared" ref="A227:A240" si="11">A3</f>
        <v>CP11TT 40° Flat Fan</v>
      </c>
      <c r="B227" s="7">
        <v>120</v>
      </c>
      <c r="C227" s="7">
        <v>125</v>
      </c>
      <c r="D227" s="7">
        <v>130</v>
      </c>
      <c r="E227" s="7">
        <v>135</v>
      </c>
      <c r="F227" s="7">
        <v>140</v>
      </c>
      <c r="G227" s="7">
        <v>145</v>
      </c>
      <c r="H227" s="7">
        <v>150</v>
      </c>
      <c r="I227" s="7">
        <v>155</v>
      </c>
      <c r="J227" s="7">
        <v>160</v>
      </c>
      <c r="K227" s="7">
        <v>165</v>
      </c>
      <c r="L227" s="7">
        <v>170</v>
      </c>
      <c r="M227" s="7">
        <v>175</v>
      </c>
      <c r="N227" s="7">
        <v>180</v>
      </c>
      <c r="O227" s="7"/>
      <c r="P227" s="42"/>
    </row>
    <row r="228" spans="1:16">
      <c r="A228" s="100" t="str">
        <f t="shared" si="11"/>
        <v>CP11TT 80° Flat Fan</v>
      </c>
      <c r="B228" s="7">
        <v>120</v>
      </c>
      <c r="C228" s="7">
        <v>125</v>
      </c>
      <c r="D228" s="7">
        <v>130</v>
      </c>
      <c r="E228" s="7">
        <v>135</v>
      </c>
      <c r="F228" s="7">
        <v>140</v>
      </c>
      <c r="G228" s="7">
        <v>145</v>
      </c>
      <c r="H228" s="7">
        <v>150</v>
      </c>
      <c r="I228" s="7">
        <v>155</v>
      </c>
      <c r="J228" s="7">
        <v>160</v>
      </c>
      <c r="K228" s="7">
        <v>165</v>
      </c>
      <c r="L228" s="7">
        <v>170</v>
      </c>
      <c r="M228" s="7">
        <v>175</v>
      </c>
      <c r="N228" s="7">
        <v>180</v>
      </c>
      <c r="O228" s="7"/>
      <c r="P228" s="42"/>
    </row>
    <row r="229" spans="1:16">
      <c r="A229" s="100" t="str">
        <f t="shared" si="11"/>
        <v>CP03</v>
      </c>
      <c r="B229" s="7">
        <v>120</v>
      </c>
      <c r="C229" s="7">
        <v>125</v>
      </c>
      <c r="D229" s="7">
        <v>130</v>
      </c>
      <c r="E229" s="7">
        <v>135</v>
      </c>
      <c r="F229" s="7">
        <v>140</v>
      </c>
      <c r="G229" s="7">
        <v>145</v>
      </c>
      <c r="H229" s="7">
        <v>150</v>
      </c>
      <c r="I229" s="7">
        <v>155</v>
      </c>
      <c r="J229" s="7">
        <v>160</v>
      </c>
      <c r="K229" s="7">
        <v>165</v>
      </c>
      <c r="L229" s="7">
        <v>170</v>
      </c>
      <c r="M229" s="7">
        <v>175</v>
      </c>
      <c r="N229" s="7">
        <v>180</v>
      </c>
      <c r="O229" s="7"/>
      <c r="P229" s="42"/>
    </row>
    <row r="230" spans="1:16">
      <c r="A230" s="100" t="str">
        <f t="shared" si="11"/>
        <v>Steel Disc Core 45</v>
      </c>
      <c r="B230" s="7">
        <v>120</v>
      </c>
      <c r="C230" s="7">
        <v>125</v>
      </c>
      <c r="D230" s="7">
        <v>130</v>
      </c>
      <c r="E230" s="7">
        <v>135</v>
      </c>
      <c r="F230" s="7">
        <v>140</v>
      </c>
      <c r="G230" s="7">
        <v>145</v>
      </c>
      <c r="H230" s="7">
        <v>150</v>
      </c>
      <c r="I230" s="7">
        <v>155</v>
      </c>
      <c r="J230" s="7">
        <v>160</v>
      </c>
      <c r="K230" s="7">
        <v>165</v>
      </c>
      <c r="L230" s="7">
        <v>170</v>
      </c>
      <c r="M230" s="7">
        <v>175</v>
      </c>
      <c r="N230" s="7">
        <v>180</v>
      </c>
      <c r="O230" s="7"/>
      <c r="P230" s="42"/>
    </row>
    <row r="231" spans="1:16">
      <c r="A231" s="100" t="str">
        <f t="shared" si="11"/>
        <v>Ceramic Disc Core 45</v>
      </c>
      <c r="B231" s="7">
        <v>120</v>
      </c>
      <c r="C231" s="7">
        <v>125</v>
      </c>
      <c r="D231" s="7">
        <v>130</v>
      </c>
      <c r="E231" s="7">
        <v>135</v>
      </c>
      <c r="F231" s="7">
        <v>140</v>
      </c>
      <c r="G231" s="7">
        <v>145</v>
      </c>
      <c r="H231" s="7">
        <v>150</v>
      </c>
      <c r="I231" s="7">
        <v>155</v>
      </c>
      <c r="J231" s="7">
        <v>160</v>
      </c>
      <c r="K231" s="7">
        <v>165</v>
      </c>
      <c r="L231" s="7">
        <v>170</v>
      </c>
      <c r="M231" s="7">
        <v>175</v>
      </c>
      <c r="N231" s="7">
        <v>180</v>
      </c>
      <c r="O231" s="7"/>
      <c r="P231" s="42"/>
    </row>
    <row r="232" spans="1:16">
      <c r="A232" s="100" t="str">
        <f t="shared" si="11"/>
        <v>Standard 40° Flat Fan</v>
      </c>
      <c r="B232" s="7">
        <v>120</v>
      </c>
      <c r="C232" s="7">
        <v>125</v>
      </c>
      <c r="D232" s="7">
        <v>130</v>
      </c>
      <c r="E232" s="7">
        <v>135</v>
      </c>
      <c r="F232" s="7">
        <v>140</v>
      </c>
      <c r="G232" s="7">
        <v>145</v>
      </c>
      <c r="H232" s="7">
        <v>150</v>
      </c>
      <c r="I232" s="7">
        <v>155</v>
      </c>
      <c r="J232" s="7">
        <v>160</v>
      </c>
      <c r="K232" s="7">
        <v>165</v>
      </c>
      <c r="L232" s="7">
        <v>170</v>
      </c>
      <c r="M232" s="7">
        <v>175</v>
      </c>
      <c r="N232" s="7">
        <v>180</v>
      </c>
      <c r="O232" s="7"/>
      <c r="P232" s="42"/>
    </row>
    <row r="233" spans="1:16">
      <c r="A233" s="100" t="str">
        <f t="shared" si="11"/>
        <v>Standard 80° Flat Fan</v>
      </c>
      <c r="B233" s="7">
        <v>120</v>
      </c>
      <c r="C233" s="7">
        <v>125</v>
      </c>
      <c r="D233" s="7">
        <v>130</v>
      </c>
      <c r="E233" s="7">
        <v>135</v>
      </c>
      <c r="F233" s="7">
        <v>140</v>
      </c>
      <c r="G233" s="7">
        <v>145</v>
      </c>
      <c r="H233" s="7">
        <v>150</v>
      </c>
      <c r="I233" s="7">
        <v>155</v>
      </c>
      <c r="J233" s="7">
        <v>160</v>
      </c>
      <c r="K233" s="7">
        <v>165</v>
      </c>
      <c r="L233" s="7">
        <v>170</v>
      </c>
      <c r="M233" s="7">
        <v>175</v>
      </c>
      <c r="N233" s="7">
        <v>180</v>
      </c>
      <c r="O233" s="7"/>
      <c r="P233" s="42"/>
    </row>
    <row r="234" spans="1:16">
      <c r="A234" s="100" t="str">
        <f t="shared" si="11"/>
        <v>CP09</v>
      </c>
      <c r="B234" s="7">
        <v>120</v>
      </c>
      <c r="C234" s="7">
        <v>125</v>
      </c>
      <c r="D234" s="7">
        <v>130</v>
      </c>
      <c r="E234" s="7">
        <v>135</v>
      </c>
      <c r="F234" s="7">
        <v>140</v>
      </c>
      <c r="G234" s="7">
        <v>145</v>
      </c>
      <c r="H234" s="7">
        <v>150</v>
      </c>
      <c r="I234" s="7">
        <v>155</v>
      </c>
      <c r="J234" s="7">
        <v>160</v>
      </c>
      <c r="K234" s="7">
        <v>165</v>
      </c>
      <c r="L234" s="7">
        <v>170</v>
      </c>
      <c r="M234" s="7">
        <v>175</v>
      </c>
      <c r="N234" s="7">
        <v>180</v>
      </c>
      <c r="O234" s="7"/>
      <c r="P234" s="42"/>
    </row>
    <row r="235" spans="1:16">
      <c r="A235" s="100" t="str">
        <f t="shared" si="11"/>
        <v>CP11TT Straight Stream</v>
      </c>
      <c r="B235" s="7">
        <v>120</v>
      </c>
      <c r="C235" s="7">
        <v>125</v>
      </c>
      <c r="D235" s="7">
        <v>130</v>
      </c>
      <c r="E235" s="7">
        <v>135</v>
      </c>
      <c r="F235" s="7">
        <v>140</v>
      </c>
      <c r="G235" s="7">
        <v>145</v>
      </c>
      <c r="H235" s="7">
        <v>150</v>
      </c>
      <c r="I235" s="7">
        <v>155</v>
      </c>
      <c r="J235" s="7">
        <v>160</v>
      </c>
      <c r="K235" s="7">
        <v>165</v>
      </c>
      <c r="L235" s="7">
        <v>170</v>
      </c>
      <c r="M235" s="7">
        <v>175</v>
      </c>
      <c r="N235" s="7">
        <v>180</v>
      </c>
      <c r="O235" s="7"/>
      <c r="P235" s="42"/>
    </row>
    <row r="236" spans="1:16">
      <c r="A236" s="100" t="str">
        <f t="shared" si="11"/>
        <v>Disc Core Straight Stream</v>
      </c>
      <c r="B236" s="7">
        <v>120</v>
      </c>
      <c r="C236" s="7">
        <v>125</v>
      </c>
      <c r="D236" s="7">
        <v>130</v>
      </c>
      <c r="E236" s="7">
        <v>135</v>
      </c>
      <c r="F236" s="7">
        <v>140</v>
      </c>
      <c r="G236" s="7">
        <v>145</v>
      </c>
      <c r="H236" s="7">
        <v>150</v>
      </c>
      <c r="I236" s="7">
        <v>155</v>
      </c>
      <c r="J236" s="7">
        <v>160</v>
      </c>
      <c r="K236" s="7">
        <v>165</v>
      </c>
      <c r="L236" s="7">
        <v>170</v>
      </c>
      <c r="M236" s="7">
        <v>175</v>
      </c>
      <c r="N236" s="7">
        <v>180</v>
      </c>
      <c r="O236" s="7"/>
      <c r="P236" s="42"/>
    </row>
    <row r="237" spans="1:16">
      <c r="A237" s="100" t="str">
        <f t="shared" si="11"/>
        <v>Davidon TriSet</v>
      </c>
      <c r="B237" s="7">
        <v>120</v>
      </c>
      <c r="C237" s="7">
        <v>125</v>
      </c>
      <c r="D237" s="7">
        <v>130</v>
      </c>
      <c r="E237" s="7">
        <v>135</v>
      </c>
      <c r="F237" s="7">
        <v>140</v>
      </c>
      <c r="G237" s="7">
        <v>145</v>
      </c>
      <c r="H237" s="7">
        <v>150</v>
      </c>
      <c r="I237" s="7">
        <v>155</v>
      </c>
      <c r="J237" s="7">
        <v>160</v>
      </c>
      <c r="K237" s="7">
        <v>165</v>
      </c>
      <c r="L237" s="7">
        <v>170</v>
      </c>
      <c r="M237" s="7">
        <v>175</v>
      </c>
      <c r="N237" s="7">
        <v>180</v>
      </c>
      <c r="O237" s="7"/>
      <c r="P237" s="42"/>
    </row>
    <row r="238" spans="1:16">
      <c r="A238" s="100" t="str">
        <f t="shared" si="11"/>
        <v>CP11TT 60° Flat Fan</v>
      </c>
      <c r="B238" s="7">
        <v>120</v>
      </c>
      <c r="C238" s="7">
        <v>125</v>
      </c>
      <c r="D238" s="7">
        <v>130</v>
      </c>
      <c r="E238" s="7">
        <v>135</v>
      </c>
      <c r="F238" s="7">
        <v>140</v>
      </c>
      <c r="G238" s="7">
        <v>145</v>
      </c>
      <c r="H238" s="7">
        <v>150</v>
      </c>
      <c r="I238" s="7">
        <v>155</v>
      </c>
      <c r="J238" s="7">
        <v>160</v>
      </c>
      <c r="K238" s="7">
        <v>165</v>
      </c>
      <c r="L238" s="7">
        <v>170</v>
      </c>
      <c r="M238" s="7">
        <v>175</v>
      </c>
      <c r="N238" s="7">
        <v>180</v>
      </c>
      <c r="O238" s="7"/>
      <c r="P238" s="42"/>
    </row>
    <row r="239" spans="1:16">
      <c r="A239" s="100" t="str">
        <f t="shared" si="11"/>
        <v>TeeJet SS</v>
      </c>
      <c r="B239" s="7">
        <v>120</v>
      </c>
      <c r="C239" s="7">
        <v>125</v>
      </c>
      <c r="D239" s="7">
        <v>130</v>
      </c>
      <c r="E239" s="7">
        <v>135</v>
      </c>
      <c r="F239" s="7">
        <v>140</v>
      </c>
      <c r="G239" s="7">
        <v>145</v>
      </c>
      <c r="H239" s="7">
        <v>150</v>
      </c>
      <c r="I239" s="7">
        <v>155</v>
      </c>
      <c r="J239" s="7">
        <v>160</v>
      </c>
      <c r="K239" s="7">
        <v>165</v>
      </c>
      <c r="L239" s="7">
        <v>170</v>
      </c>
      <c r="M239" s="7">
        <v>175</v>
      </c>
      <c r="N239" s="7">
        <v>180</v>
      </c>
      <c r="O239" s="7"/>
      <c r="P239" s="42"/>
    </row>
    <row r="240" spans="1:16">
      <c r="A240" s="100" t="str">
        <f t="shared" si="11"/>
        <v>TeeJet H1 4U</v>
      </c>
      <c r="B240" s="7">
        <v>120</v>
      </c>
      <c r="C240" s="7">
        <v>125</v>
      </c>
      <c r="D240" s="7">
        <v>130</v>
      </c>
      <c r="E240" s="7">
        <v>135</v>
      </c>
      <c r="F240" s="7">
        <v>140</v>
      </c>
      <c r="G240" s="7">
        <v>145</v>
      </c>
      <c r="H240" s="7">
        <v>150</v>
      </c>
      <c r="I240" s="7">
        <v>155</v>
      </c>
      <c r="J240" s="7">
        <v>160</v>
      </c>
      <c r="K240" s="7">
        <v>165</v>
      </c>
      <c r="L240" s="7">
        <v>170</v>
      </c>
      <c r="M240" s="7">
        <v>175</v>
      </c>
      <c r="N240" s="7">
        <v>180</v>
      </c>
      <c r="O240" s="7"/>
      <c r="P240" s="42"/>
    </row>
    <row r="241" spans="1:16" ht="14">
      <c r="A241" s="41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42"/>
    </row>
    <row r="242" spans="1:16" ht="14">
      <c r="A242" s="41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42"/>
    </row>
    <row r="243" spans="1:16" ht="14">
      <c r="A243" s="41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42"/>
    </row>
    <row r="244" spans="1:16" ht="15" thickBot="1">
      <c r="A244" s="43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5"/>
    </row>
  </sheetData>
  <sheetProtection selectLockedCells="1" selectUnlockedCells="1"/>
  <mergeCells count="2">
    <mergeCell ref="D1:R1"/>
    <mergeCell ref="D2:R2"/>
  </mergeCells>
  <pageMargins left="0.7" right="0.7" top="0.75" bottom="0.75" header="0.3" footer="0.3"/>
  <pageSetup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61"/>
  <sheetViews>
    <sheetView zoomScale="85" zoomScaleNormal="85" zoomScalePageLayoutView="85" workbookViewId="0">
      <selection activeCell="G19" sqref="G19"/>
    </sheetView>
  </sheetViews>
  <sheetFormatPr baseColWidth="10" defaultColWidth="8.83203125" defaultRowHeight="13"/>
  <cols>
    <col min="1" max="1" width="14.5" customWidth="1"/>
    <col min="2" max="2" width="18" customWidth="1"/>
  </cols>
  <sheetData>
    <row r="1" spans="1:12" ht="15">
      <c r="D1" s="54"/>
      <c r="E1" s="54"/>
      <c r="F1" s="54"/>
      <c r="G1" s="54"/>
      <c r="H1" s="54"/>
      <c r="I1" s="54"/>
      <c r="J1" s="54"/>
      <c r="K1" s="54"/>
      <c r="L1" s="54"/>
    </row>
    <row r="2" spans="1:12">
      <c r="D2" s="53"/>
      <c r="E2" s="53"/>
      <c r="F2" s="53"/>
      <c r="G2" s="53"/>
      <c r="H2" s="53"/>
      <c r="I2" s="53"/>
      <c r="J2" s="53"/>
      <c r="K2" s="53"/>
      <c r="L2" s="53"/>
    </row>
    <row r="3" spans="1:12">
      <c r="A3" t="s">
        <v>112</v>
      </c>
      <c r="H3" s="53"/>
      <c r="I3" s="53"/>
      <c r="J3" s="53"/>
      <c r="K3" s="53"/>
      <c r="L3" s="53"/>
    </row>
    <row r="4" spans="1:12">
      <c r="A4" t="s">
        <v>113</v>
      </c>
      <c r="H4" s="53"/>
      <c r="I4" s="53"/>
      <c r="J4" s="53"/>
      <c r="K4" s="53"/>
      <c r="L4" s="53"/>
    </row>
    <row r="5" spans="1:12">
      <c r="H5" s="53"/>
      <c r="I5" s="53"/>
      <c r="J5" s="53"/>
      <c r="K5" s="53"/>
      <c r="L5" s="53"/>
    </row>
    <row r="6" spans="1:12">
      <c r="B6" s="7" t="s">
        <v>37</v>
      </c>
      <c r="C6" s="7" t="s">
        <v>38</v>
      </c>
      <c r="D6" s="7" t="s">
        <v>39</v>
      </c>
      <c r="E6" s="7" t="s">
        <v>40</v>
      </c>
      <c r="F6" s="7" t="s">
        <v>41</v>
      </c>
      <c r="G6" t="s">
        <v>150</v>
      </c>
      <c r="I6" s="53"/>
      <c r="J6" s="53"/>
      <c r="K6" s="53"/>
      <c r="L6" s="53"/>
    </row>
    <row r="7" spans="1:12" ht="28">
      <c r="A7" s="136" t="s">
        <v>10</v>
      </c>
      <c r="B7" s="8" t="s">
        <v>37</v>
      </c>
      <c r="C7" s="8" t="s">
        <v>38</v>
      </c>
      <c r="D7" s="8" t="s">
        <v>39</v>
      </c>
      <c r="E7" s="8" t="s">
        <v>40</v>
      </c>
      <c r="F7" s="8" t="s">
        <v>41</v>
      </c>
      <c r="G7" s="53" t="s">
        <v>150</v>
      </c>
      <c r="H7" s="8" t="s">
        <v>11</v>
      </c>
      <c r="J7" s="53"/>
      <c r="K7" s="53"/>
      <c r="L7" s="53"/>
    </row>
    <row r="8" spans="1:12">
      <c r="A8" s="7">
        <v>0.1</v>
      </c>
      <c r="B8" s="103">
        <v>59.5</v>
      </c>
      <c r="C8" s="103">
        <v>110.3</v>
      </c>
      <c r="D8" s="103">
        <v>162</v>
      </c>
      <c r="E8" s="103">
        <v>191.7</v>
      </c>
      <c r="F8" s="103">
        <v>226.1</v>
      </c>
      <c r="G8" s="53">
        <v>302.5</v>
      </c>
      <c r="H8" s="9">
        <f>'Atomization Model'!$E$19</f>
        <v>132.90793807863813</v>
      </c>
      <c r="J8" s="53"/>
      <c r="K8" s="53"/>
      <c r="L8" s="53"/>
    </row>
    <row r="9" spans="1:12">
      <c r="A9" s="7">
        <v>0.5</v>
      </c>
      <c r="B9" s="103">
        <v>134.4</v>
      </c>
      <c r="C9" s="103">
        <v>248.1</v>
      </c>
      <c r="D9" s="103">
        <v>357.8</v>
      </c>
      <c r="E9" s="103">
        <v>431</v>
      </c>
      <c r="F9" s="103">
        <v>500.9</v>
      </c>
      <c r="G9" s="53">
        <v>658.6</v>
      </c>
      <c r="H9" s="9">
        <f>'Atomization Model'!$E$20</f>
        <v>274.77977085606369</v>
      </c>
      <c r="J9" s="53"/>
      <c r="K9" s="53"/>
      <c r="L9" s="53"/>
    </row>
    <row r="10" spans="1:12">
      <c r="A10" s="7">
        <v>0.9</v>
      </c>
      <c r="B10" s="103">
        <v>236.4</v>
      </c>
      <c r="C10" s="103">
        <v>409.4</v>
      </c>
      <c r="D10" s="103">
        <v>584</v>
      </c>
      <c r="E10" s="103">
        <v>737.1</v>
      </c>
      <c r="F10" s="103">
        <v>819.8</v>
      </c>
      <c r="G10" s="53">
        <v>1142.2</v>
      </c>
      <c r="H10" s="9">
        <f>'Atomization Model'!$E$21</f>
        <v>478.08820095903155</v>
      </c>
      <c r="J10" s="53"/>
      <c r="K10" s="53"/>
      <c r="L10" s="53"/>
    </row>
    <row r="11" spans="1:12">
      <c r="D11" s="53"/>
      <c r="E11" s="53"/>
      <c r="F11" s="53"/>
      <c r="G11" s="53"/>
      <c r="H11" s="53"/>
      <c r="I11" s="53"/>
      <c r="J11" s="53"/>
      <c r="K11" s="53"/>
      <c r="L11" s="53"/>
    </row>
    <row r="12" spans="1:12">
      <c r="D12" s="53"/>
      <c r="E12" s="53"/>
      <c r="F12" s="53"/>
      <c r="G12" s="53"/>
      <c r="H12" s="53"/>
      <c r="I12" s="53"/>
      <c r="J12" s="53"/>
      <c r="K12" s="53"/>
      <c r="L12" s="53"/>
    </row>
    <row r="13" spans="1:12">
      <c r="A13" s="7" t="s">
        <v>42</v>
      </c>
      <c r="B13" s="55" t="str">
        <f>IF(H8&gt;=G8, "ULT. COARSE", IF(H8&gt;=F8,"EXT. COARSE",IF(H8&gt;=E8,"VERY COARSE",IF(H8&gt;=D8,"COARSE",IF(H8&gt;=C8,"MEDIUM",IF(H8&gt;=B8,"FINE",IF(H8&gt;=0,"VERY FINE")))))))</f>
        <v>MEDIUM</v>
      </c>
      <c r="C13" s="55">
        <f>IF(H8&gt;=G8, 7, IF(H8&gt;=F8,6,IF(H8&gt;=E8,5,IF(H8&gt;=D8,4,IF(H8&gt;=C8,3,IF(H8&gt;=B8,2,IF(H8&gt;=0,1)))))))</f>
        <v>3</v>
      </c>
      <c r="D13" s="53"/>
      <c r="E13" s="50"/>
      <c r="F13" s="53"/>
      <c r="G13" s="53"/>
      <c r="H13" s="53"/>
      <c r="I13" s="53"/>
      <c r="J13" s="53"/>
      <c r="K13" s="53"/>
      <c r="L13" s="53"/>
    </row>
    <row r="14" spans="1:12">
      <c r="A14" s="7" t="s">
        <v>43</v>
      </c>
      <c r="B14" s="55" t="str">
        <f>IF(H9&gt;=G9, "ULT. COARSE", IF(H9&gt;=F9,"EXT. COARSE",IF(H9&gt;=E9,"VERY COARSE",IF(H9&gt;=D9,"COARSE",IF(H9&gt;=C9,"MEDIUM",IF(H9&gt;=B9,"FINE",IF(H9&gt;=0,"VERY FINE")))))))</f>
        <v>MEDIUM</v>
      </c>
      <c r="C14" s="55">
        <f t="shared" ref="C14:C15" si="0">IF(H9&gt;=G9, 7, IF(H9&gt;=F9,6,IF(H9&gt;=E9,5,IF(H9&gt;=D9,4,IF(H9&gt;=C9,3,IF(H9&gt;=B9,2,IF(H9&gt;=0,1)))))))</f>
        <v>3</v>
      </c>
      <c r="D14" s="53"/>
      <c r="E14" s="53"/>
      <c r="F14" s="53"/>
      <c r="G14" s="53"/>
      <c r="H14" s="53"/>
      <c r="I14" s="53"/>
      <c r="J14" s="53"/>
      <c r="K14" s="53"/>
      <c r="L14" s="53"/>
    </row>
    <row r="15" spans="1:12">
      <c r="A15" s="7" t="s">
        <v>108</v>
      </c>
      <c r="B15" s="55" t="str">
        <f>IF(H10&gt;=G10, "ULT. COARSE", IF(H10&gt;=F10,"EXT. COARSE",IF(H10&gt;=E10,"VERY COARSE",IF(H10&gt;=D10,"COARSE",IF(H10&gt;=C10,"MEDIUM",IF(H10&gt;=B10,"FINE",IF(H10&gt;=0,"VERY FINE")))))))</f>
        <v>MEDIUM</v>
      </c>
      <c r="C15" s="55">
        <f t="shared" si="0"/>
        <v>3</v>
      </c>
      <c r="D15" s="53"/>
      <c r="E15" s="53"/>
      <c r="F15" s="53"/>
      <c r="G15" s="53"/>
      <c r="H15" s="53"/>
      <c r="I15" s="53"/>
      <c r="J15" s="53"/>
      <c r="K15" s="53"/>
      <c r="L15" s="53"/>
    </row>
    <row r="16" spans="1:12">
      <c r="A16" s="7" t="s">
        <v>44</v>
      </c>
      <c r="B16" t="str">
        <f>CHOOSE(MIN(C13:C14),"VERY FINE","FINE","MEDIUM","COARSE","VERY COARSE","EXT. COARSE", "ULT. COARSE")</f>
        <v>MEDIUM</v>
      </c>
      <c r="D16" s="53"/>
      <c r="E16" s="53"/>
      <c r="F16" s="53"/>
      <c r="G16" s="53"/>
      <c r="H16" s="53"/>
      <c r="I16" s="53"/>
      <c r="J16" s="53"/>
      <c r="K16" s="53"/>
      <c r="L16" s="53"/>
    </row>
    <row r="17" spans="1:12">
      <c r="D17" s="53"/>
      <c r="E17" s="53"/>
      <c r="F17" s="53"/>
      <c r="G17" s="53"/>
      <c r="H17" s="53"/>
      <c r="I17" s="53"/>
      <c r="J17" s="53"/>
      <c r="K17" s="53"/>
      <c r="L17" s="53"/>
    </row>
    <row r="18" spans="1:12">
      <c r="A18" s="193"/>
      <c r="B18" s="193"/>
      <c r="C18" s="193"/>
      <c r="D18" s="193"/>
      <c r="E18" s="193"/>
      <c r="F18" s="193"/>
      <c r="G18" s="193"/>
      <c r="H18" s="193"/>
      <c r="I18" s="53"/>
      <c r="J18" s="53"/>
      <c r="K18" s="53"/>
      <c r="L18" s="53"/>
    </row>
    <row r="19" spans="1:12">
      <c r="D19" s="53"/>
      <c r="E19" s="53"/>
      <c r="F19" s="53"/>
      <c r="G19" s="53"/>
      <c r="H19" s="53"/>
      <c r="I19" s="53"/>
      <c r="J19" s="53"/>
      <c r="K19" s="53"/>
      <c r="L19" s="53"/>
    </row>
    <row r="20" spans="1:12">
      <c r="D20" s="53"/>
      <c r="E20" s="53"/>
      <c r="F20" s="53"/>
      <c r="G20" s="53"/>
      <c r="H20" s="53"/>
      <c r="I20" s="53"/>
      <c r="J20" s="53"/>
      <c r="K20" s="53"/>
      <c r="L20" s="53"/>
    </row>
    <row r="21" spans="1:12">
      <c r="D21" s="53"/>
      <c r="E21" s="53"/>
      <c r="F21" s="53"/>
      <c r="G21" s="53"/>
      <c r="H21" s="53"/>
      <c r="I21" s="53"/>
      <c r="J21" s="53"/>
      <c r="K21" s="53"/>
      <c r="L21" s="53"/>
    </row>
    <row r="22" spans="1:12">
      <c r="D22" s="53"/>
      <c r="E22" s="53"/>
      <c r="F22" s="53"/>
      <c r="G22" s="53"/>
      <c r="H22" s="53"/>
      <c r="I22" s="53"/>
      <c r="J22" s="53"/>
      <c r="K22" s="53"/>
      <c r="L22" s="53"/>
    </row>
    <row r="23" spans="1:12">
      <c r="D23" s="53"/>
      <c r="E23" s="53"/>
      <c r="F23" s="53"/>
      <c r="G23" s="53"/>
      <c r="H23" s="53"/>
      <c r="I23" s="53"/>
      <c r="J23" s="53"/>
      <c r="K23" s="53"/>
      <c r="L23" s="53"/>
    </row>
    <row r="24" spans="1:12">
      <c r="D24" s="53"/>
      <c r="E24" s="53"/>
      <c r="F24" s="53"/>
      <c r="G24" s="53"/>
      <c r="H24" s="53"/>
      <c r="I24" s="53"/>
      <c r="J24" s="53"/>
      <c r="K24" s="53"/>
      <c r="L24" s="53"/>
    </row>
    <row r="25" spans="1:12">
      <c r="D25" s="53"/>
      <c r="E25" s="53"/>
      <c r="F25" s="53"/>
      <c r="G25" s="53"/>
      <c r="H25" s="53"/>
      <c r="I25" s="53"/>
      <c r="J25" s="53"/>
      <c r="K25" s="53"/>
      <c r="L25" s="53"/>
    </row>
    <row r="26" spans="1:12">
      <c r="D26" s="53"/>
      <c r="E26" s="53"/>
      <c r="F26" s="53"/>
      <c r="G26" s="53"/>
      <c r="H26" s="53"/>
      <c r="I26" s="53"/>
      <c r="J26" s="53"/>
      <c r="K26" s="53"/>
      <c r="L26" s="53"/>
    </row>
    <row r="27" spans="1:12">
      <c r="D27" s="53"/>
      <c r="E27" s="53"/>
      <c r="F27" s="53"/>
      <c r="G27" s="53"/>
      <c r="H27" s="53"/>
      <c r="I27" s="53"/>
      <c r="J27" s="53"/>
      <c r="K27" s="53"/>
      <c r="L27" s="53"/>
    </row>
    <row r="28" spans="1:12">
      <c r="D28" s="53"/>
      <c r="E28" s="53"/>
      <c r="F28" s="53"/>
      <c r="G28" s="53"/>
      <c r="H28" s="53"/>
      <c r="I28" s="53"/>
      <c r="J28" s="53"/>
      <c r="K28" s="53"/>
      <c r="L28" s="53"/>
    </row>
    <row r="29" spans="1:12">
      <c r="D29" s="53"/>
      <c r="E29" s="53"/>
      <c r="F29" s="53"/>
      <c r="G29" s="53"/>
      <c r="H29" s="53"/>
      <c r="I29" s="53"/>
      <c r="J29" s="53"/>
      <c r="K29" s="53"/>
      <c r="L29" s="53"/>
    </row>
    <row r="30" spans="1:12">
      <c r="D30" s="53"/>
      <c r="E30" s="53"/>
      <c r="F30" s="53"/>
      <c r="G30" s="53"/>
      <c r="H30" s="53"/>
      <c r="I30" s="53"/>
      <c r="J30" s="53"/>
      <c r="K30" s="53"/>
      <c r="L30" s="53"/>
    </row>
    <row r="31" spans="1:12">
      <c r="D31" s="53"/>
      <c r="E31" s="53"/>
      <c r="F31" s="50"/>
      <c r="G31" s="53"/>
      <c r="H31" s="53"/>
      <c r="I31" s="53"/>
      <c r="J31" s="53"/>
      <c r="K31" s="53"/>
      <c r="L31" s="53"/>
    </row>
    <row r="32" spans="1:12">
      <c r="D32" s="53"/>
      <c r="E32" s="53"/>
      <c r="F32" s="53"/>
      <c r="G32" s="53"/>
      <c r="H32" s="53"/>
      <c r="I32" s="53"/>
      <c r="J32" s="53"/>
      <c r="K32" s="53"/>
      <c r="L32" s="53"/>
    </row>
    <row r="33" spans="4:12">
      <c r="D33" s="53"/>
      <c r="E33" s="53"/>
      <c r="F33" s="53"/>
      <c r="G33" s="53"/>
      <c r="H33" s="53"/>
      <c r="I33" s="53"/>
      <c r="J33" s="53"/>
      <c r="K33" s="53"/>
      <c r="L33" s="53"/>
    </row>
    <row r="34" spans="4:12">
      <c r="D34" s="53"/>
      <c r="E34" s="53"/>
      <c r="G34" s="53"/>
      <c r="H34" s="53"/>
      <c r="I34" s="53"/>
      <c r="J34" s="53"/>
      <c r="K34" s="53"/>
      <c r="L34" s="53"/>
    </row>
    <row r="35" spans="4:12">
      <c r="D35" s="53"/>
      <c r="E35" s="53"/>
      <c r="G35" s="53"/>
      <c r="H35" s="53"/>
      <c r="I35" s="53"/>
      <c r="J35" s="53"/>
      <c r="K35" s="53"/>
      <c r="L35" s="53"/>
    </row>
    <row r="36" spans="4:12">
      <c r="D36" s="53"/>
      <c r="E36" s="53"/>
      <c r="F36" s="53"/>
      <c r="G36" s="53"/>
      <c r="H36" s="53"/>
      <c r="I36" s="53"/>
      <c r="J36" s="53"/>
      <c r="K36" s="53"/>
      <c r="L36" s="53"/>
    </row>
    <row r="37" spans="4:12">
      <c r="D37" s="53"/>
      <c r="E37" s="53"/>
      <c r="F37" s="53"/>
      <c r="G37" s="53"/>
      <c r="H37" s="53"/>
      <c r="I37" s="53"/>
      <c r="J37" s="53"/>
      <c r="K37" s="53"/>
      <c r="L37" s="53"/>
    </row>
    <row r="38" spans="4:12">
      <c r="D38" s="53"/>
      <c r="E38" s="53"/>
      <c r="F38" s="53"/>
      <c r="G38" s="53"/>
      <c r="H38" s="53"/>
      <c r="I38" s="53"/>
      <c r="J38" s="53"/>
      <c r="K38" s="53"/>
      <c r="L38" s="53"/>
    </row>
    <row r="39" spans="4:12">
      <c r="D39" s="53"/>
      <c r="E39" s="53"/>
      <c r="F39" s="53"/>
      <c r="G39" s="53"/>
      <c r="H39" s="53"/>
      <c r="I39" s="53"/>
      <c r="J39" s="53"/>
      <c r="K39" s="53"/>
      <c r="L39" s="53"/>
    </row>
    <row r="40" spans="4:12">
      <c r="D40" s="53"/>
      <c r="E40" s="53"/>
      <c r="F40" s="53"/>
      <c r="G40" s="53"/>
      <c r="H40" s="53"/>
      <c r="I40" s="53"/>
      <c r="J40" s="53"/>
      <c r="K40" s="53"/>
      <c r="L40" s="53"/>
    </row>
    <row r="41" spans="4:12">
      <c r="D41" s="53"/>
      <c r="E41" s="53"/>
      <c r="F41" s="53"/>
      <c r="G41" s="53"/>
      <c r="H41" s="53"/>
      <c r="I41" s="53"/>
      <c r="J41" s="53"/>
      <c r="K41" s="53"/>
      <c r="L41" s="53"/>
    </row>
    <row r="42" spans="4:12">
      <c r="D42" s="53"/>
      <c r="E42" s="53"/>
      <c r="F42" s="53"/>
      <c r="G42" s="53"/>
      <c r="H42" s="53"/>
      <c r="I42" s="53"/>
      <c r="J42" s="53"/>
      <c r="K42" s="53"/>
      <c r="L42" s="53"/>
    </row>
    <row r="43" spans="4:12">
      <c r="D43" s="53"/>
      <c r="E43" s="53"/>
      <c r="F43" s="53"/>
      <c r="G43" s="53"/>
      <c r="H43" s="53"/>
      <c r="I43" s="53"/>
      <c r="J43" s="53"/>
      <c r="K43" s="53"/>
      <c r="L43" s="53"/>
    </row>
    <row r="44" spans="4:12">
      <c r="D44" s="53"/>
      <c r="E44" s="53"/>
      <c r="F44" s="53"/>
      <c r="G44" s="53"/>
      <c r="H44" s="53"/>
      <c r="I44" s="53"/>
      <c r="J44" s="53"/>
      <c r="K44" s="53"/>
      <c r="L44" s="53"/>
    </row>
    <row r="45" spans="4:12">
      <c r="D45" s="53"/>
      <c r="E45" s="53"/>
      <c r="F45" s="53"/>
      <c r="G45" s="53"/>
      <c r="H45" s="53"/>
      <c r="I45" s="53"/>
      <c r="J45" s="53"/>
      <c r="K45" s="53"/>
      <c r="L45" s="53"/>
    </row>
    <row r="46" spans="4:12">
      <c r="D46" s="53"/>
      <c r="E46" s="53"/>
      <c r="F46" s="53"/>
      <c r="G46" s="53"/>
      <c r="H46" s="53"/>
      <c r="I46" s="53"/>
      <c r="J46" s="53"/>
      <c r="K46" s="53"/>
      <c r="L46" s="53"/>
    </row>
    <row r="47" spans="4:12">
      <c r="D47" s="53"/>
      <c r="E47" s="53"/>
      <c r="F47" s="53"/>
      <c r="G47" s="53"/>
      <c r="H47" s="53"/>
      <c r="I47" s="53"/>
      <c r="J47" s="53"/>
      <c r="K47" s="53"/>
      <c r="L47" s="53"/>
    </row>
    <row r="48" spans="4:12">
      <c r="D48" s="53"/>
      <c r="E48" s="53"/>
      <c r="F48" s="53"/>
      <c r="G48" s="53"/>
      <c r="H48" s="53"/>
      <c r="I48" s="53"/>
      <c r="J48" s="53"/>
      <c r="K48" s="53"/>
      <c r="L48" s="53"/>
    </row>
    <row r="49" spans="4:12">
      <c r="D49" s="53"/>
      <c r="E49" s="53"/>
      <c r="F49" s="53"/>
      <c r="G49" s="53"/>
      <c r="H49" s="53"/>
      <c r="I49" s="53"/>
      <c r="J49" s="53"/>
      <c r="K49" s="53"/>
      <c r="L49" s="53"/>
    </row>
    <row r="50" spans="4:12">
      <c r="D50" s="53"/>
      <c r="E50" s="53"/>
      <c r="F50" s="53"/>
      <c r="G50" s="53"/>
      <c r="H50" s="53"/>
      <c r="I50" s="53"/>
      <c r="J50" s="53"/>
      <c r="K50" s="53"/>
      <c r="L50" s="53"/>
    </row>
    <row r="51" spans="4:12">
      <c r="D51" s="53"/>
      <c r="E51" s="53"/>
      <c r="F51" s="53"/>
      <c r="G51" s="53"/>
      <c r="H51" s="53"/>
      <c r="I51" s="53"/>
      <c r="J51" s="53"/>
      <c r="K51" s="53"/>
      <c r="L51" s="53"/>
    </row>
    <row r="52" spans="4:12">
      <c r="D52" s="53"/>
      <c r="E52" s="53"/>
      <c r="F52" s="53"/>
      <c r="G52" s="53"/>
      <c r="H52" s="53"/>
      <c r="I52" s="53"/>
      <c r="J52" s="53"/>
      <c r="K52" s="53"/>
      <c r="L52" s="53"/>
    </row>
    <row r="53" spans="4:12">
      <c r="D53" s="53"/>
      <c r="E53" s="53"/>
      <c r="F53" s="53"/>
      <c r="G53" s="53"/>
      <c r="H53" s="53"/>
      <c r="I53" s="53"/>
      <c r="J53" s="53"/>
      <c r="K53" s="53"/>
      <c r="L53" s="53"/>
    </row>
    <row r="54" spans="4:12">
      <c r="D54" s="53"/>
      <c r="E54" s="53"/>
      <c r="F54" s="53"/>
      <c r="G54" s="53"/>
      <c r="H54" s="53"/>
      <c r="I54" s="53"/>
      <c r="J54" s="53"/>
      <c r="K54" s="53"/>
      <c r="L54" s="53"/>
    </row>
    <row r="55" spans="4:12">
      <c r="D55" s="53"/>
      <c r="E55" s="53"/>
      <c r="F55" s="53"/>
      <c r="G55" s="53"/>
      <c r="H55" s="53"/>
      <c r="I55" s="53"/>
      <c r="J55" s="53"/>
      <c r="K55" s="53"/>
      <c r="L55" s="53"/>
    </row>
    <row r="56" spans="4:12">
      <c r="D56" s="53"/>
      <c r="E56" s="53"/>
      <c r="F56" s="53"/>
      <c r="G56" s="53"/>
      <c r="H56" s="53"/>
      <c r="I56" s="53"/>
      <c r="J56" s="53"/>
      <c r="K56" s="53"/>
      <c r="L56" s="53"/>
    </row>
    <row r="57" spans="4:12">
      <c r="D57" s="53"/>
      <c r="E57" s="53"/>
      <c r="F57" s="53"/>
      <c r="G57" s="53"/>
      <c r="H57" s="53"/>
      <c r="I57" s="53"/>
      <c r="J57" s="53"/>
      <c r="K57" s="53"/>
      <c r="L57" s="53"/>
    </row>
    <row r="58" spans="4:12">
      <c r="D58" s="53"/>
      <c r="E58" s="53"/>
      <c r="F58" s="53"/>
      <c r="G58" s="53"/>
      <c r="H58" s="53"/>
      <c r="I58" s="53"/>
      <c r="J58" s="53"/>
      <c r="K58" s="53"/>
      <c r="L58" s="53"/>
    </row>
    <row r="59" spans="4:12">
      <c r="D59" s="53"/>
      <c r="E59" s="53"/>
      <c r="F59" s="53"/>
      <c r="G59" s="53"/>
      <c r="H59" s="53"/>
      <c r="I59" s="53"/>
      <c r="J59" s="53"/>
      <c r="K59" s="53"/>
      <c r="L59" s="53"/>
    </row>
    <row r="60" spans="4:12">
      <c r="D60" s="53"/>
      <c r="E60" s="53"/>
      <c r="F60" s="53"/>
      <c r="G60" s="53"/>
      <c r="H60" s="53"/>
      <c r="I60" s="53"/>
      <c r="J60" s="53"/>
      <c r="K60" s="53"/>
      <c r="L60" s="53"/>
    </row>
    <row r="61" spans="4:12">
      <c r="D61" s="53"/>
      <c r="E61" s="53"/>
      <c r="F61" s="53"/>
      <c r="G61" s="53"/>
      <c r="H61" s="53"/>
      <c r="I61" s="53"/>
      <c r="J61" s="53"/>
      <c r="K61" s="53"/>
      <c r="L61" s="53"/>
    </row>
  </sheetData>
  <sheetProtection selectLockedCells="1" selectUnlockedCells="1"/>
  <mergeCells count="1">
    <mergeCell ref="A18:H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05"/>
  <sheetViews>
    <sheetView topLeftCell="A52" workbookViewId="0">
      <selection activeCell="A88" sqref="A88:E105"/>
    </sheetView>
  </sheetViews>
  <sheetFormatPr baseColWidth="10" defaultColWidth="10.83203125" defaultRowHeight="16"/>
  <cols>
    <col min="1" max="1" width="24.33203125" style="137" bestFit="1" customWidth="1"/>
    <col min="2" max="2" width="10.83203125" style="137"/>
    <col min="3" max="3" width="26.5" style="137" bestFit="1" customWidth="1"/>
    <col min="4" max="16384" width="10.83203125" style="137"/>
  </cols>
  <sheetData>
    <row r="1" spans="1:11">
      <c r="A1" s="137" t="s">
        <v>118</v>
      </c>
      <c r="B1" s="137" t="s">
        <v>28</v>
      </c>
      <c r="C1" s="137" t="s">
        <v>120</v>
      </c>
      <c r="D1" s="137" t="s">
        <v>121</v>
      </c>
      <c r="E1" s="137" t="s">
        <v>122</v>
      </c>
    </row>
    <row r="2" spans="1:11">
      <c r="A2" s="137" t="s">
        <v>119</v>
      </c>
      <c r="B2" s="137">
        <v>4</v>
      </c>
      <c r="C2" s="137" t="str">
        <f>A2&amp;B2</f>
        <v>CP11TT 20° Flat Fan4</v>
      </c>
      <c r="D2" s="137">
        <v>6.6360000000000002E-2</v>
      </c>
      <c r="E2" s="137">
        <v>0.48842999999999998</v>
      </c>
    </row>
    <row r="3" spans="1:11">
      <c r="A3" s="137" t="s">
        <v>119</v>
      </c>
      <c r="B3" s="137">
        <v>6</v>
      </c>
      <c r="C3" s="137" t="str">
        <f t="shared" ref="C3:C66" si="0">A3&amp;B3</f>
        <v>CP11TT 20° Flat Fan6</v>
      </c>
      <c r="D3" s="137">
        <v>9.5000000000000001E-2</v>
      </c>
      <c r="E3" s="137">
        <v>0.49869999999999998</v>
      </c>
    </row>
    <row r="4" spans="1:11">
      <c r="A4" s="137" t="s">
        <v>119</v>
      </c>
      <c r="B4" s="137">
        <v>8</v>
      </c>
      <c r="C4" s="137" t="str">
        <f t="shared" si="0"/>
        <v>CP11TT 20° Flat Fan8</v>
      </c>
      <c r="D4" s="137">
        <v>0.124635</v>
      </c>
      <c r="E4" s="137">
        <v>0.50334000000000001</v>
      </c>
    </row>
    <row r="5" spans="1:11">
      <c r="A5" s="137" t="s">
        <v>119</v>
      </c>
      <c r="B5" s="137">
        <v>10</v>
      </c>
      <c r="C5" s="137" t="str">
        <f t="shared" si="0"/>
        <v>CP11TT 20° Flat Fan10</v>
      </c>
      <c r="D5" s="137">
        <v>0.14959</v>
      </c>
      <c r="E5" s="137">
        <v>0.51898</v>
      </c>
    </row>
    <row r="6" spans="1:11">
      <c r="A6" s="137" t="s">
        <v>119</v>
      </c>
      <c r="B6" s="137">
        <v>12</v>
      </c>
      <c r="C6" s="137" t="str">
        <f t="shared" si="0"/>
        <v>CP11TT 20° Flat Fan12</v>
      </c>
      <c r="D6" s="137">
        <v>0.179398</v>
      </c>
      <c r="E6" s="137">
        <v>0.51883800000000002</v>
      </c>
    </row>
    <row r="7" spans="1:11">
      <c r="A7" s="137" t="s">
        <v>119</v>
      </c>
      <c r="B7" s="137">
        <v>15</v>
      </c>
      <c r="C7" s="137" t="str">
        <f t="shared" si="0"/>
        <v>CP11TT 20° Flat Fan15</v>
      </c>
      <c r="D7" s="137">
        <v>0.23569000000000001</v>
      </c>
      <c r="E7" s="137">
        <v>0.50192999999999999</v>
      </c>
    </row>
    <row r="8" spans="1:11">
      <c r="A8" s="137" t="s">
        <v>119</v>
      </c>
      <c r="B8" s="137">
        <v>20</v>
      </c>
      <c r="C8" s="137" t="str">
        <f t="shared" si="0"/>
        <v>CP11TT 20° Flat Fan20</v>
      </c>
      <c r="D8" s="137">
        <v>0.31352999999999998</v>
      </c>
      <c r="E8" s="137">
        <v>0.50233000000000005</v>
      </c>
    </row>
    <row r="9" spans="1:11">
      <c r="A9" s="137" t="s">
        <v>91</v>
      </c>
      <c r="B9" s="137">
        <v>4</v>
      </c>
      <c r="C9" s="137" t="str">
        <f t="shared" si="0"/>
        <v>CP11TT 40° Flat Fan4</v>
      </c>
      <c r="D9" s="137">
        <v>6.6360000000000002E-2</v>
      </c>
      <c r="E9" s="137">
        <v>0.48842999999999998</v>
      </c>
    </row>
    <row r="10" spans="1:11">
      <c r="A10" s="137" t="s">
        <v>91</v>
      </c>
      <c r="B10" s="137">
        <v>6</v>
      </c>
      <c r="C10" s="137" t="str">
        <f t="shared" si="0"/>
        <v>CP11TT 40° Flat Fan6</v>
      </c>
      <c r="D10" s="137">
        <v>9.5000000000000001E-2</v>
      </c>
      <c r="E10" s="137">
        <v>0.49869999999999998</v>
      </c>
    </row>
    <row r="11" spans="1:11">
      <c r="A11" s="137" t="s">
        <v>91</v>
      </c>
      <c r="B11" s="137">
        <v>8</v>
      </c>
      <c r="C11" s="137" t="str">
        <f t="shared" si="0"/>
        <v>CP11TT 40° Flat Fan8</v>
      </c>
      <c r="D11" s="137">
        <v>0.124635</v>
      </c>
      <c r="E11" s="137">
        <v>0.50334000000000001</v>
      </c>
    </row>
    <row r="12" spans="1:11">
      <c r="A12" s="137" t="s">
        <v>91</v>
      </c>
      <c r="B12" s="137">
        <v>10</v>
      </c>
      <c r="C12" s="137" t="str">
        <f t="shared" si="0"/>
        <v>CP11TT 40° Flat Fan10</v>
      </c>
      <c r="D12" s="137">
        <v>0.14959</v>
      </c>
      <c r="E12" s="137">
        <v>0.51898</v>
      </c>
    </row>
    <row r="13" spans="1:11">
      <c r="A13" s="137" t="s">
        <v>91</v>
      </c>
      <c r="B13" s="137">
        <v>12</v>
      </c>
      <c r="C13" s="137" t="str">
        <f t="shared" si="0"/>
        <v>CP11TT 40° Flat Fan12</v>
      </c>
      <c r="D13" s="137">
        <v>0.179398</v>
      </c>
      <c r="E13" s="137">
        <v>0.51883800000000002</v>
      </c>
    </row>
    <row r="14" spans="1:11">
      <c r="A14" s="137" t="s">
        <v>91</v>
      </c>
      <c r="B14" s="137">
        <v>15</v>
      </c>
      <c r="C14" s="137" t="str">
        <f t="shared" si="0"/>
        <v>CP11TT 40° Flat Fan15</v>
      </c>
      <c r="D14" s="137">
        <v>0.23569000000000001</v>
      </c>
      <c r="E14" s="137">
        <v>0.50192999999999999</v>
      </c>
      <c r="J14" s="137" t="s">
        <v>137</v>
      </c>
      <c r="K14" s="137" t="str">
        <f>'Atomization Model'!G6</f>
        <v>Standard 40° Flat Fan</v>
      </c>
    </row>
    <row r="15" spans="1:11">
      <c r="A15" s="137" t="s">
        <v>91</v>
      </c>
      <c r="B15" s="137">
        <v>20</v>
      </c>
      <c r="C15" s="137" t="str">
        <f t="shared" si="0"/>
        <v>CP11TT 40° Flat Fan20</v>
      </c>
      <c r="D15" s="137">
        <v>0.31352999999999998</v>
      </c>
      <c r="E15" s="137">
        <v>0.50233000000000005</v>
      </c>
      <c r="J15" s="137" t="s">
        <v>28</v>
      </c>
      <c r="K15" s="137">
        <f>'Atomization Model'!F16</f>
        <v>4</v>
      </c>
    </row>
    <row r="16" spans="1:11">
      <c r="A16" s="137" t="s">
        <v>91</v>
      </c>
      <c r="B16" s="137">
        <v>25</v>
      </c>
      <c r="C16" s="137" t="str">
        <f t="shared" si="0"/>
        <v>CP11TT 40° Flat Fan25</v>
      </c>
      <c r="D16" s="137">
        <v>0.37908999999999998</v>
      </c>
      <c r="E16" s="137">
        <v>0.51492000000000004</v>
      </c>
      <c r="J16" s="137" t="s">
        <v>120</v>
      </c>
      <c r="K16" s="137" t="str">
        <f>K14&amp;K15</f>
        <v>Standard 40° Flat Fan4</v>
      </c>
    </row>
    <row r="17" spans="1:15">
      <c r="A17" s="137" t="s">
        <v>91</v>
      </c>
      <c r="B17" s="137">
        <v>30</v>
      </c>
      <c r="C17" s="137" t="str">
        <f t="shared" si="0"/>
        <v>CP11TT 40° Flat Fan30</v>
      </c>
      <c r="D17" s="137">
        <v>0.45290000000000002</v>
      </c>
      <c r="E17" s="137">
        <v>0.51598999999999995</v>
      </c>
    </row>
    <row r="18" spans="1:15">
      <c r="A18" s="137" t="s">
        <v>89</v>
      </c>
      <c r="B18" s="137">
        <v>2</v>
      </c>
      <c r="C18" s="137" t="str">
        <f t="shared" si="0"/>
        <v>CP11TT 80° Flat Fan2</v>
      </c>
      <c r="D18" s="137">
        <v>3.2629999999999999E-2</v>
      </c>
      <c r="E18" s="137">
        <v>0.48809999999999998</v>
      </c>
      <c r="K18" s="138">
        <f>VLOOKUP(K16,NFRTab,2,FALSE)</f>
        <v>6.5175999999999998E-2</v>
      </c>
      <c r="L18" s="138">
        <f>VLOOKUP(K16,NFRTab,3,FALSE)</f>
        <v>0.49385899999999999</v>
      </c>
    </row>
    <row r="19" spans="1:15">
      <c r="A19" s="137" t="s">
        <v>89</v>
      </c>
      <c r="B19" s="137">
        <v>3</v>
      </c>
      <c r="C19" s="137" t="str">
        <f t="shared" si="0"/>
        <v>CP11TT 80° Flat Fan3</v>
      </c>
      <c r="D19" s="137">
        <v>4.5289999999999997E-2</v>
      </c>
      <c r="E19" s="137">
        <v>0.51365000000000005</v>
      </c>
    </row>
    <row r="20" spans="1:15">
      <c r="A20" s="137" t="s">
        <v>89</v>
      </c>
      <c r="B20" s="137">
        <v>4</v>
      </c>
      <c r="C20" s="137" t="str">
        <f t="shared" si="0"/>
        <v>CP11TT 80° Flat Fan4</v>
      </c>
      <c r="D20" s="137">
        <v>6.6360000000000002E-2</v>
      </c>
      <c r="E20" s="137">
        <v>0.48842999999999998</v>
      </c>
      <c r="K20" s="137" t="s">
        <v>123</v>
      </c>
      <c r="L20" s="137">
        <f>K18*L21^L18</f>
        <v>0.40297624763453388</v>
      </c>
      <c r="N20" s="137" t="s">
        <v>132</v>
      </c>
      <c r="O20" s="137">
        <f>'Atomization Model'!D36</f>
        <v>70</v>
      </c>
    </row>
    <row r="21" spans="1:15">
      <c r="A21" s="137" t="s">
        <v>89</v>
      </c>
      <c r="B21" s="137">
        <v>5</v>
      </c>
      <c r="C21" s="137" t="str">
        <f t="shared" si="0"/>
        <v>CP11TT 80° Flat Fan5</v>
      </c>
      <c r="D21" s="137">
        <v>7.7842999999999996E-2</v>
      </c>
      <c r="E21" s="137">
        <v>0.50351999999999997</v>
      </c>
      <c r="K21" s="137" t="s">
        <v>36</v>
      </c>
      <c r="L21" s="137">
        <f>'Atomization Model'!M16</f>
        <v>40</v>
      </c>
      <c r="N21" s="137" t="s">
        <v>133</v>
      </c>
      <c r="O21" s="137">
        <f>'Atomization Model'!D35</f>
        <v>3</v>
      </c>
    </row>
    <row r="22" spans="1:15">
      <c r="A22" s="137" t="s">
        <v>89</v>
      </c>
      <c r="B22" s="137">
        <v>6</v>
      </c>
      <c r="C22" s="137" t="str">
        <f t="shared" si="0"/>
        <v>CP11TT 80° Flat Fan6</v>
      </c>
      <c r="D22" s="137">
        <v>9.5000000000000001E-2</v>
      </c>
      <c r="E22" s="137">
        <v>0.49869999999999998</v>
      </c>
      <c r="K22" s="137" t="s">
        <v>52</v>
      </c>
      <c r="L22" s="137">
        <f>'Atomization Model'!P16</f>
        <v>140</v>
      </c>
      <c r="M22" s="137" t="s">
        <v>134</v>
      </c>
    </row>
    <row r="23" spans="1:15">
      <c r="A23" s="137" t="s">
        <v>89</v>
      </c>
      <c r="B23" s="137">
        <v>8</v>
      </c>
      <c r="C23" s="137" t="str">
        <f t="shared" si="0"/>
        <v>CP11TT 80° Flat Fan8</v>
      </c>
      <c r="D23" s="137">
        <v>0.124635</v>
      </c>
      <c r="E23" s="137">
        <v>0.50334000000000001</v>
      </c>
      <c r="K23" s="137" t="s">
        <v>129</v>
      </c>
      <c r="L23" s="137">
        <f>O21*L22*O20/495</f>
        <v>59.393939393939391</v>
      </c>
    </row>
    <row r="24" spans="1:15">
      <c r="A24" s="137" t="s">
        <v>89</v>
      </c>
      <c r="B24" s="137">
        <v>10</v>
      </c>
      <c r="C24" s="137" t="str">
        <f t="shared" si="0"/>
        <v>CP11TT 80° Flat Fan10</v>
      </c>
      <c r="D24" s="137">
        <v>0.14959</v>
      </c>
      <c r="E24" s="137">
        <v>0.51898</v>
      </c>
    </row>
    <row r="25" spans="1:15">
      <c r="A25" s="137" t="s">
        <v>89</v>
      </c>
      <c r="B25" s="137">
        <v>12</v>
      </c>
      <c r="C25" s="137" t="str">
        <f t="shared" si="0"/>
        <v>CP11TT 80° Flat Fan12</v>
      </c>
      <c r="D25" s="137">
        <v>0.179398</v>
      </c>
      <c r="E25" s="137">
        <v>0.51883800000000002</v>
      </c>
    </row>
    <row r="26" spans="1:15">
      <c r="A26" s="137" t="s">
        <v>89</v>
      </c>
      <c r="B26" s="137">
        <v>15</v>
      </c>
      <c r="C26" s="137" t="str">
        <f t="shared" si="0"/>
        <v>CP11TT 80° Flat Fan15</v>
      </c>
      <c r="D26" s="137">
        <v>0.23569000000000001</v>
      </c>
      <c r="E26" s="137">
        <v>0.50192999999999999</v>
      </c>
    </row>
    <row r="27" spans="1:15">
      <c r="A27" s="137" t="s">
        <v>89</v>
      </c>
      <c r="B27" s="137">
        <v>20</v>
      </c>
      <c r="C27" s="137" t="str">
        <f t="shared" si="0"/>
        <v>CP11TT 80° Flat Fan20</v>
      </c>
      <c r="D27" s="137">
        <v>0.31352999999999998</v>
      </c>
      <c r="E27" s="137">
        <v>0.50233000000000005</v>
      </c>
    </row>
    <row r="28" spans="1:15">
      <c r="A28" s="137" t="s">
        <v>89</v>
      </c>
      <c r="B28" s="137">
        <v>25</v>
      </c>
      <c r="C28" s="137" t="str">
        <f t="shared" si="0"/>
        <v>CP11TT 80° Flat Fan25</v>
      </c>
      <c r="D28" s="137">
        <v>0.37908999999999998</v>
      </c>
      <c r="E28" s="137">
        <v>0.51492000000000004</v>
      </c>
    </row>
    <row r="29" spans="1:15">
      <c r="A29" s="137" t="s">
        <v>89</v>
      </c>
      <c r="B29" s="137">
        <v>30</v>
      </c>
      <c r="C29" s="137" t="str">
        <f t="shared" si="0"/>
        <v>CP11TT 80° Flat Fan30</v>
      </c>
      <c r="D29" s="137">
        <v>0.45290000000000002</v>
      </c>
      <c r="E29" s="137">
        <v>0.51598999999999995</v>
      </c>
    </row>
    <row r="30" spans="1:15">
      <c r="A30" s="137" t="s">
        <v>90</v>
      </c>
      <c r="B30" s="137">
        <v>6.2E-2</v>
      </c>
      <c r="C30" s="137" t="str">
        <f t="shared" si="0"/>
        <v>CP030.062</v>
      </c>
      <c r="D30" s="137">
        <v>6.7930000000000004E-2</v>
      </c>
      <c r="E30" s="137">
        <v>0.57869700000000002</v>
      </c>
    </row>
    <row r="31" spans="1:15">
      <c r="A31" s="137" t="s">
        <v>90</v>
      </c>
      <c r="B31" s="137">
        <v>7.8E-2</v>
      </c>
      <c r="C31" s="137" t="str">
        <f t="shared" si="0"/>
        <v>CP030.078</v>
      </c>
      <c r="D31" s="137">
        <v>0.15414</v>
      </c>
      <c r="E31" s="137">
        <v>0.49787999999999999</v>
      </c>
    </row>
    <row r="32" spans="1:15">
      <c r="A32" s="137" t="s">
        <v>90</v>
      </c>
      <c r="B32" s="137">
        <v>0.125</v>
      </c>
      <c r="C32" s="137" t="str">
        <f t="shared" si="0"/>
        <v>CP030.125</v>
      </c>
      <c r="D32" s="137">
        <v>0.38874999999999998</v>
      </c>
      <c r="E32" s="137">
        <v>0.51605500000000004</v>
      </c>
    </row>
    <row r="33" spans="1:5">
      <c r="A33" s="137" t="s">
        <v>90</v>
      </c>
      <c r="B33" s="137">
        <v>0.17199999999999999</v>
      </c>
      <c r="C33" s="137" t="str">
        <f t="shared" si="0"/>
        <v>CP030.172</v>
      </c>
      <c r="D33" s="137">
        <v>0.80813100000000004</v>
      </c>
      <c r="E33" s="137">
        <v>0.46081100000000003</v>
      </c>
    </row>
    <row r="34" spans="1:5">
      <c r="A34" s="137" t="s">
        <v>92</v>
      </c>
      <c r="B34" s="137">
        <v>2</v>
      </c>
      <c r="C34" s="137" t="str">
        <f t="shared" si="0"/>
        <v>Steel Disc Core 452</v>
      </c>
      <c r="D34" s="137">
        <v>3.4075000000000001E-2</v>
      </c>
      <c r="E34" s="137">
        <v>0.48441000000000001</v>
      </c>
    </row>
    <row r="35" spans="1:5">
      <c r="A35" s="137" t="s">
        <v>92</v>
      </c>
      <c r="B35" s="137">
        <v>4</v>
      </c>
      <c r="C35" s="137" t="str">
        <f t="shared" si="0"/>
        <v>Steel Disc Core 454</v>
      </c>
      <c r="D35" s="137">
        <v>5.8841999999999998E-2</v>
      </c>
      <c r="E35" s="137">
        <v>0.48848999999999998</v>
      </c>
    </row>
    <row r="36" spans="1:5">
      <c r="A36" s="137" t="s">
        <v>92</v>
      </c>
      <c r="B36" s="137">
        <v>6</v>
      </c>
      <c r="C36" s="137" t="str">
        <f t="shared" si="0"/>
        <v>Steel Disc Core 456</v>
      </c>
      <c r="D36" s="137">
        <v>8.7079799999999999E-2</v>
      </c>
      <c r="E36" s="137">
        <v>0.51458599999999999</v>
      </c>
    </row>
    <row r="37" spans="1:5">
      <c r="A37" s="137" t="s">
        <v>92</v>
      </c>
      <c r="B37" s="137">
        <v>8</v>
      </c>
      <c r="C37" s="137" t="str">
        <f t="shared" si="0"/>
        <v>Steel Disc Core 458</v>
      </c>
      <c r="D37" s="137">
        <v>0.122721</v>
      </c>
      <c r="E37" s="137">
        <v>0.521397</v>
      </c>
    </row>
    <row r="38" spans="1:5">
      <c r="A38" s="137" t="s">
        <v>92</v>
      </c>
      <c r="B38" s="137">
        <v>10</v>
      </c>
      <c r="C38" s="137" t="str">
        <f t="shared" si="0"/>
        <v>Steel Disc Core 4510</v>
      </c>
      <c r="D38" s="137">
        <v>0.15915699999999999</v>
      </c>
      <c r="E38" s="137">
        <v>0.52275000000000005</v>
      </c>
    </row>
    <row r="39" spans="1:5">
      <c r="A39" s="137" t="s">
        <v>92</v>
      </c>
      <c r="B39" s="137">
        <v>12</v>
      </c>
      <c r="C39" s="137" t="str">
        <f t="shared" si="0"/>
        <v>Steel Disc Core 4512</v>
      </c>
      <c r="D39" s="137">
        <v>0.196716</v>
      </c>
      <c r="E39" s="137">
        <v>0.52396200000000004</v>
      </c>
    </row>
    <row r="40" spans="1:5">
      <c r="A40" s="137" t="s">
        <v>92</v>
      </c>
      <c r="B40" s="137">
        <v>14</v>
      </c>
      <c r="C40" s="137" t="str">
        <f t="shared" si="0"/>
        <v>Steel Disc Core 4514</v>
      </c>
      <c r="D40" s="137">
        <v>0.230042</v>
      </c>
      <c r="E40" s="137">
        <v>0.51368999999999998</v>
      </c>
    </row>
    <row r="41" spans="1:5">
      <c r="A41" s="137" t="s">
        <v>92</v>
      </c>
      <c r="B41" s="137">
        <v>16</v>
      </c>
      <c r="C41" s="137" t="str">
        <f t="shared" si="0"/>
        <v>Steel Disc Core 4516</v>
      </c>
      <c r="D41" s="137">
        <v>0.25906000000000001</v>
      </c>
      <c r="E41" s="137">
        <v>0.52352900000000002</v>
      </c>
    </row>
    <row r="42" spans="1:5">
      <c r="A42" s="137" t="s">
        <v>105</v>
      </c>
      <c r="B42" s="137">
        <v>2</v>
      </c>
      <c r="C42" s="137" t="str">
        <f t="shared" si="0"/>
        <v>Ceramic Disc Core 452</v>
      </c>
      <c r="D42" s="137">
        <v>3.4075000000000001E-2</v>
      </c>
      <c r="E42" s="137">
        <v>0.48441000000000001</v>
      </c>
    </row>
    <row r="43" spans="1:5">
      <c r="A43" s="137" t="s">
        <v>105</v>
      </c>
      <c r="B43" s="137">
        <v>4</v>
      </c>
      <c r="C43" s="137" t="str">
        <f t="shared" si="0"/>
        <v>Ceramic Disc Core 454</v>
      </c>
      <c r="D43" s="137">
        <v>5.8841999999999998E-2</v>
      </c>
      <c r="E43" s="137">
        <v>0.48848999999999998</v>
      </c>
    </row>
    <row r="44" spans="1:5">
      <c r="A44" s="137" t="s">
        <v>105</v>
      </c>
      <c r="B44" s="137">
        <v>6</v>
      </c>
      <c r="C44" s="137" t="str">
        <f t="shared" si="0"/>
        <v>Ceramic Disc Core 456</v>
      </c>
      <c r="D44" s="137">
        <v>8.7079799999999999E-2</v>
      </c>
      <c r="E44" s="137">
        <v>0.51458599999999999</v>
      </c>
    </row>
    <row r="45" spans="1:5">
      <c r="A45" s="137" t="s">
        <v>105</v>
      </c>
      <c r="B45" s="137">
        <v>8</v>
      </c>
      <c r="C45" s="137" t="str">
        <f t="shared" si="0"/>
        <v>Ceramic Disc Core 458</v>
      </c>
      <c r="D45" s="137">
        <v>0.122721</v>
      </c>
      <c r="E45" s="137">
        <v>0.521397</v>
      </c>
    </row>
    <row r="46" spans="1:5">
      <c r="A46" s="137" t="s">
        <v>105</v>
      </c>
      <c r="B46" s="137">
        <v>10</v>
      </c>
      <c r="C46" s="137" t="str">
        <f t="shared" si="0"/>
        <v>Ceramic Disc Core 4510</v>
      </c>
      <c r="D46" s="137">
        <v>0.15915699999999999</v>
      </c>
      <c r="E46" s="137">
        <v>0.52275000000000005</v>
      </c>
    </row>
    <row r="47" spans="1:5">
      <c r="A47" s="137" t="s">
        <v>138</v>
      </c>
      <c r="B47" s="137">
        <v>2</v>
      </c>
      <c r="C47" s="137" t="str">
        <f t="shared" si="0"/>
        <v>Standard 40° Flat Fan2</v>
      </c>
      <c r="D47" s="137">
        <v>2.9048999999999998E-2</v>
      </c>
      <c r="E47" s="137">
        <v>0.51908500000000002</v>
      </c>
    </row>
    <row r="48" spans="1:5">
      <c r="A48" s="137" t="s">
        <v>138</v>
      </c>
      <c r="B48" s="137">
        <v>4</v>
      </c>
      <c r="C48" s="137" t="str">
        <f t="shared" si="0"/>
        <v>Standard 40° Flat Fan4</v>
      </c>
      <c r="D48" s="137">
        <v>6.5175999999999998E-2</v>
      </c>
      <c r="E48" s="137">
        <v>0.49385899999999999</v>
      </c>
    </row>
    <row r="49" spans="1:5">
      <c r="A49" s="137" t="s">
        <v>138</v>
      </c>
      <c r="B49" s="137">
        <v>6</v>
      </c>
      <c r="C49" s="137" t="str">
        <f t="shared" si="0"/>
        <v>Standard 40° Flat Fan6</v>
      </c>
      <c r="D49" s="137">
        <v>9.3974000000000002E-2</v>
      </c>
      <c r="E49" s="137">
        <v>0.50217500000000004</v>
      </c>
    </row>
    <row r="50" spans="1:5">
      <c r="A50" s="137" t="s">
        <v>138</v>
      </c>
      <c r="B50" s="137">
        <v>8</v>
      </c>
      <c r="C50" s="137" t="str">
        <f t="shared" si="0"/>
        <v>Standard 40° Flat Fan8</v>
      </c>
      <c r="D50" s="137">
        <v>0.118101</v>
      </c>
      <c r="E50" s="137">
        <v>0.5616622</v>
      </c>
    </row>
    <row r="51" spans="1:5">
      <c r="A51" s="137" t="s">
        <v>138</v>
      </c>
      <c r="B51" s="137">
        <v>10</v>
      </c>
      <c r="C51" s="137" t="str">
        <f t="shared" si="0"/>
        <v>Standard 40° Flat Fan10</v>
      </c>
      <c r="D51" s="137">
        <v>0.15286</v>
      </c>
      <c r="E51" s="137">
        <v>0.50749599999999995</v>
      </c>
    </row>
    <row r="52" spans="1:5">
      <c r="A52" s="137" t="s">
        <v>138</v>
      </c>
      <c r="B52" s="137">
        <v>12</v>
      </c>
      <c r="C52" s="137" t="str">
        <f t="shared" si="0"/>
        <v>Standard 40° Flat Fan12</v>
      </c>
      <c r="D52" s="137">
        <v>0.17675399999999999</v>
      </c>
      <c r="E52" s="137">
        <v>0.51710999999999996</v>
      </c>
    </row>
    <row r="53" spans="1:5">
      <c r="A53" s="137" t="s">
        <v>138</v>
      </c>
      <c r="B53" s="137">
        <v>15</v>
      </c>
      <c r="C53" s="137" t="str">
        <f t="shared" si="0"/>
        <v>Standard 40° Flat Fan15</v>
      </c>
      <c r="D53" s="137">
        <v>0.22733999999999999</v>
      </c>
      <c r="E53" s="137">
        <v>0.50942699999999996</v>
      </c>
    </row>
    <row r="54" spans="1:5">
      <c r="A54" s="137" t="s">
        <v>138</v>
      </c>
      <c r="B54" s="137">
        <v>20</v>
      </c>
      <c r="C54" s="137" t="str">
        <f t="shared" si="0"/>
        <v>Standard 40° Flat Fan20</v>
      </c>
      <c r="D54" s="137">
        <v>0.29049000000000003</v>
      </c>
      <c r="E54" s="137">
        <v>0.51908500000000002</v>
      </c>
    </row>
    <row r="55" spans="1:5">
      <c r="A55" s="137" t="s">
        <v>138</v>
      </c>
      <c r="B55" s="137">
        <v>30</v>
      </c>
      <c r="C55" s="137" t="str">
        <f t="shared" si="0"/>
        <v>Standard 40° Flat Fan30</v>
      </c>
      <c r="D55" s="137">
        <v>0.49563000000000001</v>
      </c>
      <c r="E55" s="137">
        <v>0.48860300000000001</v>
      </c>
    </row>
    <row r="56" spans="1:5">
      <c r="A56" s="137" t="s">
        <v>139</v>
      </c>
      <c r="B56" s="137">
        <v>2</v>
      </c>
      <c r="C56" s="137" t="str">
        <f t="shared" si="0"/>
        <v>Standard 80° Flat Fan2</v>
      </c>
      <c r="D56" s="137">
        <v>2.9048999999999998E-2</v>
      </c>
      <c r="E56" s="137">
        <v>0.51908500000000002</v>
      </c>
    </row>
    <row r="57" spans="1:5">
      <c r="A57" s="137" t="s">
        <v>139</v>
      </c>
      <c r="B57" s="137">
        <v>4</v>
      </c>
      <c r="C57" s="137" t="str">
        <f t="shared" si="0"/>
        <v>Standard 80° Flat Fan4</v>
      </c>
      <c r="D57" s="137">
        <v>6.5175999999999998E-2</v>
      </c>
      <c r="E57" s="137">
        <v>0.49385899999999999</v>
      </c>
    </row>
    <row r="58" spans="1:5">
      <c r="A58" s="137" t="s">
        <v>139</v>
      </c>
      <c r="B58" s="137">
        <v>6</v>
      </c>
      <c r="C58" s="137" t="str">
        <f t="shared" si="0"/>
        <v>Standard 80° Flat Fan6</v>
      </c>
      <c r="D58" s="137">
        <v>9.3974000000000002E-2</v>
      </c>
      <c r="E58" s="137">
        <v>0.50217500000000004</v>
      </c>
    </row>
    <row r="59" spans="1:5">
      <c r="A59" s="137" t="s">
        <v>139</v>
      </c>
      <c r="B59" s="137">
        <v>8</v>
      </c>
      <c r="C59" s="137" t="str">
        <f t="shared" si="0"/>
        <v>Standard 80° Flat Fan8</v>
      </c>
      <c r="D59" s="137">
        <v>0.118101</v>
      </c>
      <c r="E59" s="137">
        <v>0.5616622</v>
      </c>
    </row>
    <row r="60" spans="1:5">
      <c r="A60" s="137" t="s">
        <v>139</v>
      </c>
      <c r="B60" s="137">
        <v>10</v>
      </c>
      <c r="C60" s="137" t="str">
        <f t="shared" si="0"/>
        <v>Standard 80° Flat Fan10</v>
      </c>
      <c r="D60" s="137">
        <v>0.15286</v>
      </c>
      <c r="E60" s="137">
        <v>0.50749599999999995</v>
      </c>
    </row>
    <row r="61" spans="1:5">
      <c r="A61" s="137" t="s">
        <v>139</v>
      </c>
      <c r="B61" s="137">
        <v>12</v>
      </c>
      <c r="C61" s="137" t="str">
        <f t="shared" si="0"/>
        <v>Standard 80° Flat Fan12</v>
      </c>
      <c r="D61" s="137">
        <v>0.17675399999999999</v>
      </c>
      <c r="E61" s="137">
        <v>0.51710999999999996</v>
      </c>
    </row>
    <row r="62" spans="1:5">
      <c r="A62" s="137" t="s">
        <v>139</v>
      </c>
      <c r="B62" s="137">
        <v>15</v>
      </c>
      <c r="C62" s="137" t="str">
        <f t="shared" si="0"/>
        <v>Standard 80° Flat Fan15</v>
      </c>
      <c r="D62" s="137">
        <v>0.22733999999999999</v>
      </c>
      <c r="E62" s="137">
        <v>0.50942699999999996</v>
      </c>
    </row>
    <row r="63" spans="1:5">
      <c r="A63" s="137" t="s">
        <v>139</v>
      </c>
      <c r="B63" s="137">
        <v>20</v>
      </c>
      <c r="C63" s="137" t="str">
        <f t="shared" si="0"/>
        <v>Standard 80° Flat Fan20</v>
      </c>
      <c r="D63" s="137">
        <v>0.29049000000000003</v>
      </c>
      <c r="E63" s="137">
        <v>0.51908500000000002</v>
      </c>
    </row>
    <row r="64" spans="1:5">
      <c r="A64" s="137" t="s">
        <v>139</v>
      </c>
      <c r="B64" s="137">
        <v>30</v>
      </c>
      <c r="C64" s="137" t="str">
        <f t="shared" si="0"/>
        <v>Standard 80° Flat Fan30</v>
      </c>
      <c r="D64" s="137">
        <v>0.49563000000000001</v>
      </c>
      <c r="E64" s="137">
        <v>0.48860300000000001</v>
      </c>
    </row>
    <row r="65" spans="1:5">
      <c r="A65" s="137" t="s">
        <v>96</v>
      </c>
      <c r="B65" s="137">
        <v>6.2E-2</v>
      </c>
      <c r="C65" s="137" t="str">
        <f t="shared" si="0"/>
        <v>CP090.062</v>
      </c>
      <c r="D65" s="137">
        <v>6.7930000000000004E-2</v>
      </c>
      <c r="E65" s="137">
        <v>0.57869700000000002</v>
      </c>
    </row>
    <row r="66" spans="1:5">
      <c r="A66" s="137" t="s">
        <v>96</v>
      </c>
      <c r="B66" s="137">
        <v>7.8E-2</v>
      </c>
      <c r="C66" s="137" t="str">
        <f t="shared" si="0"/>
        <v>CP090.078</v>
      </c>
      <c r="D66" s="137">
        <v>0.15414</v>
      </c>
      <c r="E66" s="137">
        <v>0.49787999999999999</v>
      </c>
    </row>
    <row r="67" spans="1:5">
      <c r="A67" s="137" t="s">
        <v>96</v>
      </c>
      <c r="B67" s="137">
        <v>0.125</v>
      </c>
      <c r="C67" s="137" t="str">
        <f t="shared" ref="C67:C88" si="1">A67&amp;B67</f>
        <v>CP090.125</v>
      </c>
      <c r="D67" s="137">
        <v>0.38874999999999998</v>
      </c>
      <c r="E67" s="137">
        <v>0.51605500000000004</v>
      </c>
    </row>
    <row r="68" spans="1:5">
      <c r="A68" s="137" t="s">
        <v>96</v>
      </c>
      <c r="B68" s="137">
        <v>0.17199999999999999</v>
      </c>
      <c r="C68" s="137" t="str">
        <f t="shared" si="1"/>
        <v>CP090.172</v>
      </c>
      <c r="D68" s="137">
        <v>0.80813100000000004</v>
      </c>
      <c r="E68" s="137">
        <v>0.46081100000000003</v>
      </c>
    </row>
    <row r="69" spans="1:5">
      <c r="A69" s="137" t="s">
        <v>98</v>
      </c>
      <c r="B69" s="137">
        <v>6</v>
      </c>
      <c r="C69" s="137" t="str">
        <f t="shared" si="1"/>
        <v>CP11TT Straight Stream6</v>
      </c>
      <c r="D69" s="137">
        <v>9.5000000000000001E-2</v>
      </c>
      <c r="E69" s="137">
        <v>0.49869999999999998</v>
      </c>
    </row>
    <row r="70" spans="1:5">
      <c r="A70" s="137" t="s">
        <v>98</v>
      </c>
      <c r="B70" s="137">
        <v>8</v>
      </c>
      <c r="C70" s="137" t="str">
        <f t="shared" si="1"/>
        <v>CP11TT Straight Stream8</v>
      </c>
      <c r="D70" s="137">
        <v>0.124635</v>
      </c>
      <c r="E70" s="137">
        <v>0.50334000000000001</v>
      </c>
    </row>
    <row r="71" spans="1:5">
      <c r="A71" s="137" t="s">
        <v>98</v>
      </c>
      <c r="B71" s="137">
        <v>10</v>
      </c>
      <c r="C71" s="137" t="str">
        <f t="shared" si="1"/>
        <v>CP11TT Straight Stream10</v>
      </c>
      <c r="D71" s="137">
        <v>0.14959</v>
      </c>
      <c r="E71" s="137">
        <v>0.51898</v>
      </c>
    </row>
    <row r="72" spans="1:5">
      <c r="A72" s="137" t="s">
        <v>98</v>
      </c>
      <c r="B72" s="137">
        <v>12</v>
      </c>
      <c r="C72" s="137" t="str">
        <f t="shared" si="1"/>
        <v>CP11TT Straight Stream12</v>
      </c>
      <c r="D72" s="137">
        <v>0.179398</v>
      </c>
      <c r="E72" s="137">
        <v>0.51883800000000002</v>
      </c>
    </row>
    <row r="73" spans="1:5">
      <c r="A73" s="137" t="s">
        <v>98</v>
      </c>
      <c r="B73" s="137">
        <v>15</v>
      </c>
      <c r="C73" s="137" t="str">
        <f t="shared" si="1"/>
        <v>CP11TT Straight Stream15</v>
      </c>
      <c r="D73" s="137">
        <v>0.23569000000000001</v>
      </c>
      <c r="E73" s="137">
        <v>0.50192999999999999</v>
      </c>
    </row>
    <row r="74" spans="1:5">
      <c r="A74" s="137" t="s">
        <v>98</v>
      </c>
      <c r="B74" s="137">
        <v>20</v>
      </c>
      <c r="C74" s="137" t="str">
        <f t="shared" si="1"/>
        <v>CP11TT Straight Stream20</v>
      </c>
      <c r="D74" s="137">
        <v>0.31352999999999998</v>
      </c>
      <c r="E74" s="137">
        <v>0.50233000000000005</v>
      </c>
    </row>
    <row r="75" spans="1:5">
      <c r="A75" s="137" t="s">
        <v>98</v>
      </c>
      <c r="B75" s="137">
        <v>25</v>
      </c>
      <c r="C75" s="137" t="str">
        <f t="shared" si="1"/>
        <v>CP11TT Straight Stream25</v>
      </c>
      <c r="D75" s="137">
        <v>0.37908999999999998</v>
      </c>
      <c r="E75" s="137">
        <v>0.51492000000000004</v>
      </c>
    </row>
    <row r="76" spans="1:5">
      <c r="A76" s="137" t="s">
        <v>104</v>
      </c>
      <c r="B76" s="137">
        <v>2</v>
      </c>
      <c r="C76" s="137" t="str">
        <f t="shared" si="1"/>
        <v>Disc Core Straight Stream2</v>
      </c>
      <c r="D76" s="137">
        <v>1.942E-2</v>
      </c>
      <c r="E76" s="137">
        <v>0.63424999999999998</v>
      </c>
    </row>
    <row r="77" spans="1:5">
      <c r="A77" s="137" t="s">
        <v>104</v>
      </c>
      <c r="B77" s="137">
        <v>3</v>
      </c>
      <c r="C77" s="137" t="str">
        <f t="shared" si="1"/>
        <v>Disc Core Straight Stream3</v>
      </c>
      <c r="D77" s="137">
        <v>3.4320000000000003E-2</v>
      </c>
      <c r="E77" s="137">
        <v>0.55706</v>
      </c>
    </row>
    <row r="78" spans="1:5">
      <c r="A78" s="137" t="s">
        <v>104</v>
      </c>
      <c r="B78" s="137">
        <v>4</v>
      </c>
      <c r="C78" s="137" t="str">
        <f t="shared" si="1"/>
        <v>Disc Core Straight Stream4</v>
      </c>
      <c r="D78" s="137">
        <v>6.4280000000000004E-2</v>
      </c>
      <c r="E78" s="137">
        <v>0.52880000000000005</v>
      </c>
    </row>
    <row r="79" spans="1:5">
      <c r="A79" s="137" t="s">
        <v>104</v>
      </c>
      <c r="B79" s="137">
        <v>5</v>
      </c>
      <c r="C79" s="137" t="str">
        <f t="shared" si="1"/>
        <v>Disc Core Straight Stream5</v>
      </c>
      <c r="D79" s="137">
        <v>0.11855</v>
      </c>
      <c r="E79" s="137">
        <v>0.49620999999999998</v>
      </c>
    </row>
    <row r="80" spans="1:5">
      <c r="A80" s="137" t="s">
        <v>104</v>
      </c>
      <c r="B80" s="137">
        <v>6</v>
      </c>
      <c r="C80" s="137" t="str">
        <f t="shared" si="1"/>
        <v>Disc Core Straight Stream6</v>
      </c>
      <c r="D80" s="137">
        <v>0.2</v>
      </c>
      <c r="E80" s="137">
        <v>0.44944000000000001</v>
      </c>
    </row>
    <row r="81" spans="1:5">
      <c r="A81" s="137" t="s">
        <v>104</v>
      </c>
      <c r="B81" s="137">
        <v>7</v>
      </c>
      <c r="C81" s="137" t="str">
        <f t="shared" si="1"/>
        <v>Disc Core Straight Stream7</v>
      </c>
      <c r="D81" s="137">
        <v>0.22658</v>
      </c>
      <c r="E81" s="137">
        <v>0.49503799999999998</v>
      </c>
    </row>
    <row r="82" spans="1:5">
      <c r="A82" s="137" t="s">
        <v>104</v>
      </c>
      <c r="B82" s="137">
        <v>8</v>
      </c>
      <c r="C82" s="137" t="str">
        <f t="shared" si="1"/>
        <v>Disc Core Straight Stream8</v>
      </c>
      <c r="D82" s="137">
        <v>0.35376000000000002</v>
      </c>
      <c r="E82" s="137">
        <v>0.44996999999999998</v>
      </c>
    </row>
    <row r="83" spans="1:5">
      <c r="A83" s="137" t="s">
        <v>104</v>
      </c>
      <c r="B83" s="137">
        <v>10</v>
      </c>
      <c r="C83" s="137" t="str">
        <f t="shared" si="1"/>
        <v>Disc Core Straight Stream10</v>
      </c>
      <c r="D83" s="137">
        <v>0.47805999999999998</v>
      </c>
      <c r="E83" s="137">
        <v>0.47081000000000001</v>
      </c>
    </row>
    <row r="84" spans="1:5">
      <c r="A84" s="137" t="s">
        <v>104</v>
      </c>
      <c r="B84" s="137">
        <v>12</v>
      </c>
      <c r="C84" s="137" t="str">
        <f t="shared" si="1"/>
        <v>Disc Core Straight Stream12</v>
      </c>
      <c r="D84" s="137">
        <v>0.56108000000000002</v>
      </c>
      <c r="E84" s="137">
        <v>0.49034</v>
      </c>
    </row>
    <row r="85" spans="1:5">
      <c r="A85" s="137" t="s">
        <v>102</v>
      </c>
      <c r="B85" s="137">
        <v>6.0999999999999999E-2</v>
      </c>
      <c r="C85" s="137" t="str">
        <f t="shared" si="1"/>
        <v>Davidon TriSet0.061</v>
      </c>
      <c r="D85" s="137">
        <v>0.107668</v>
      </c>
      <c r="E85" s="137">
        <v>0.49492700000000001</v>
      </c>
    </row>
    <row r="86" spans="1:5">
      <c r="A86" s="137" t="s">
        <v>102</v>
      </c>
      <c r="B86" s="137">
        <v>7.8E-2</v>
      </c>
      <c r="C86" s="137" t="str">
        <f t="shared" si="1"/>
        <v>Davidon TriSet0.078</v>
      </c>
      <c r="D86" s="137">
        <v>0.171653</v>
      </c>
      <c r="E86" s="137">
        <v>0.48879899999999998</v>
      </c>
    </row>
    <row r="87" spans="1:5">
      <c r="A87" s="137" t="s">
        <v>102</v>
      </c>
      <c r="B87" s="137">
        <v>0.125</v>
      </c>
      <c r="C87" s="137" t="str">
        <f t="shared" si="1"/>
        <v>Davidon TriSet0.125</v>
      </c>
      <c r="D87" s="137">
        <v>0.38169900000000001</v>
      </c>
      <c r="E87" s="137">
        <v>0.50012299999999998</v>
      </c>
    </row>
    <row r="88" spans="1:5">
      <c r="A88" s="137" t="s">
        <v>151</v>
      </c>
      <c r="B88" s="137">
        <v>2</v>
      </c>
      <c r="C88" s="137" t="str">
        <f>A88&amp;B88</f>
        <v>TeeJet SS2</v>
      </c>
      <c r="D88" s="137">
        <v>3.1243E-2</v>
      </c>
      <c r="E88" s="137">
        <v>0.50135300000000005</v>
      </c>
    </row>
    <row r="89" spans="1:5">
      <c r="A89" s="137" t="s">
        <v>151</v>
      </c>
      <c r="B89" s="137">
        <v>3</v>
      </c>
      <c r="C89" s="137" t="str">
        <f>A89&amp;B89</f>
        <v>TeeJet SS3</v>
      </c>
      <c r="D89" s="137">
        <v>4.6759000000000002E-2</v>
      </c>
      <c r="E89" s="137">
        <v>0.50377499999999997</v>
      </c>
    </row>
    <row r="90" spans="1:5">
      <c r="A90" s="137" t="s">
        <v>151</v>
      </c>
      <c r="B90" s="137">
        <v>4</v>
      </c>
      <c r="C90" s="137" t="str">
        <f>A90&amp;B90</f>
        <v>TeeJet SS4</v>
      </c>
      <c r="D90" s="137">
        <v>6.2277399999999997E-2</v>
      </c>
      <c r="E90" s="137">
        <v>0.50496859999999999</v>
      </c>
    </row>
    <row r="91" spans="1:5">
      <c r="A91" s="137" t="s">
        <v>151</v>
      </c>
      <c r="B91" s="137">
        <v>6</v>
      </c>
      <c r="C91" s="137" t="str">
        <f>A91&amp;B91</f>
        <v>TeeJet SS6</v>
      </c>
      <c r="D91" s="137">
        <v>9.3517240000000001E-2</v>
      </c>
      <c r="E91" s="137">
        <v>0.50377510000000003</v>
      </c>
    </row>
    <row r="92" spans="1:5">
      <c r="A92" s="137" t="s">
        <v>151</v>
      </c>
      <c r="B92" s="137">
        <v>8</v>
      </c>
      <c r="C92" s="137" t="str">
        <f t="shared" ref="C92:C105" si="2">A92&amp;B92</f>
        <v>TeeJet SS8</v>
      </c>
      <c r="D92" s="137">
        <v>0.127919</v>
      </c>
      <c r="E92" s="137">
        <v>0.49671650000000001</v>
      </c>
    </row>
    <row r="93" spans="1:5">
      <c r="A93" s="137" t="s">
        <v>151</v>
      </c>
      <c r="B93" s="137">
        <v>10</v>
      </c>
      <c r="C93" s="137" t="str">
        <f t="shared" si="2"/>
        <v>TeeJet SS10</v>
      </c>
      <c r="D93" s="137">
        <v>0.158941</v>
      </c>
      <c r="E93" s="137">
        <v>0.49909100000000001</v>
      </c>
    </row>
    <row r="94" spans="1:5">
      <c r="A94" s="137" t="s">
        <v>151</v>
      </c>
      <c r="B94" s="137">
        <v>12</v>
      </c>
      <c r="C94" s="137" t="str">
        <f t="shared" si="2"/>
        <v>TeeJet SS12</v>
      </c>
      <c r="D94" s="137">
        <v>0.216582</v>
      </c>
      <c r="E94" s="137">
        <v>0.46788800000000003</v>
      </c>
    </row>
    <row r="95" spans="1:5">
      <c r="A95" s="137" t="s">
        <v>151</v>
      </c>
      <c r="B95" s="137">
        <v>15</v>
      </c>
      <c r="C95" s="137" t="str">
        <f t="shared" si="2"/>
        <v>TeeJet SS15</v>
      </c>
      <c r="D95" s="137">
        <v>0.23694200000000001</v>
      </c>
      <c r="E95" s="137">
        <v>0.50031999999999999</v>
      </c>
    </row>
    <row r="96" spans="1:5">
      <c r="A96" s="137" t="s">
        <v>151</v>
      </c>
      <c r="B96" s="137">
        <v>20</v>
      </c>
      <c r="C96" s="137" t="str">
        <f t="shared" si="2"/>
        <v>TeeJet SS20</v>
      </c>
      <c r="D96" s="137">
        <v>0.314942</v>
      </c>
      <c r="E96" s="137">
        <v>0.50093869999999996</v>
      </c>
    </row>
    <row r="97" spans="1:5">
      <c r="A97" s="137" t="s">
        <v>152</v>
      </c>
      <c r="B97" s="137">
        <v>2</v>
      </c>
      <c r="C97" s="137" t="str">
        <f t="shared" si="2"/>
        <v>TeeJet H1 4U2</v>
      </c>
      <c r="D97" s="137">
        <v>3.1243E-2</v>
      </c>
      <c r="E97" s="137">
        <v>0.50135300000000005</v>
      </c>
    </row>
    <row r="98" spans="1:5">
      <c r="A98" s="137" t="s">
        <v>152</v>
      </c>
      <c r="B98" s="137">
        <v>3</v>
      </c>
      <c r="C98" s="137" t="str">
        <f t="shared" si="2"/>
        <v>TeeJet H1 4U3</v>
      </c>
      <c r="D98" s="137">
        <v>4.6759000000000002E-2</v>
      </c>
      <c r="E98" s="137">
        <v>0.50377499999999997</v>
      </c>
    </row>
    <row r="99" spans="1:5">
      <c r="A99" s="137" t="s">
        <v>152</v>
      </c>
      <c r="B99" s="137">
        <v>4</v>
      </c>
      <c r="C99" s="137" t="str">
        <f t="shared" si="2"/>
        <v>TeeJet H1 4U4</v>
      </c>
      <c r="D99" s="137">
        <v>6.2277399999999997E-2</v>
      </c>
      <c r="E99" s="137">
        <v>0.50496859999999999</v>
      </c>
    </row>
    <row r="100" spans="1:5">
      <c r="A100" s="137" t="s">
        <v>152</v>
      </c>
      <c r="B100" s="137">
        <v>6</v>
      </c>
      <c r="C100" s="137" t="str">
        <f t="shared" si="2"/>
        <v>TeeJet H1 4U6</v>
      </c>
      <c r="D100" s="137">
        <v>9.3517240000000001E-2</v>
      </c>
      <c r="E100" s="137">
        <v>0.50377510000000003</v>
      </c>
    </row>
    <row r="101" spans="1:5">
      <c r="A101" s="137" t="s">
        <v>152</v>
      </c>
      <c r="B101" s="137">
        <v>8</v>
      </c>
      <c r="C101" s="137" t="str">
        <f t="shared" si="2"/>
        <v>TeeJet H1 4U8</v>
      </c>
      <c r="D101" s="137">
        <v>0.127919</v>
      </c>
      <c r="E101" s="137">
        <v>0.49671650000000001</v>
      </c>
    </row>
    <row r="102" spans="1:5">
      <c r="A102" s="137" t="s">
        <v>152</v>
      </c>
      <c r="B102" s="137">
        <v>10</v>
      </c>
      <c r="C102" s="137" t="str">
        <f t="shared" si="2"/>
        <v>TeeJet H1 4U10</v>
      </c>
      <c r="D102" s="137">
        <v>0.158941</v>
      </c>
      <c r="E102" s="137">
        <v>0.49909100000000001</v>
      </c>
    </row>
    <row r="103" spans="1:5">
      <c r="A103" s="137" t="s">
        <v>152</v>
      </c>
      <c r="B103" s="137">
        <v>12</v>
      </c>
      <c r="C103" s="137" t="str">
        <f t="shared" si="2"/>
        <v>TeeJet H1 4U12</v>
      </c>
      <c r="D103" s="137">
        <v>0.216582</v>
      </c>
      <c r="E103" s="137">
        <v>0.46788800000000003</v>
      </c>
    </row>
    <row r="104" spans="1:5">
      <c r="A104" s="137" t="s">
        <v>152</v>
      </c>
      <c r="B104" s="137">
        <v>15</v>
      </c>
      <c r="C104" s="137" t="str">
        <f t="shared" si="2"/>
        <v>TeeJet H1 4U15</v>
      </c>
      <c r="D104" s="137">
        <v>0.23694200000000001</v>
      </c>
      <c r="E104" s="137">
        <v>0.50031999999999999</v>
      </c>
    </row>
    <row r="105" spans="1:5">
      <c r="A105" s="137" t="s">
        <v>152</v>
      </c>
      <c r="B105" s="137">
        <v>20</v>
      </c>
      <c r="C105" s="137" t="str">
        <f t="shared" si="2"/>
        <v>TeeJet H1 4U20</v>
      </c>
      <c r="D105" s="137">
        <v>0.314942</v>
      </c>
      <c r="E105" s="137">
        <v>0.50093869999999996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A8091-648D-6F47-B6FB-2B15C5073786}">
  <dimension ref="A3:L16"/>
  <sheetViews>
    <sheetView workbookViewId="0">
      <selection activeCell="A4" sqref="A4"/>
    </sheetView>
  </sheetViews>
  <sheetFormatPr baseColWidth="10" defaultRowHeight="13"/>
  <cols>
    <col min="2" max="2" width="18.6640625" customWidth="1"/>
  </cols>
  <sheetData>
    <row r="3" spans="1:12">
      <c r="A3" s="7" t="s">
        <v>155</v>
      </c>
      <c r="H3" s="53"/>
      <c r="I3" s="53"/>
      <c r="J3" s="53"/>
      <c r="K3" s="53"/>
      <c r="L3" s="53"/>
    </row>
    <row r="4" spans="1:12">
      <c r="A4" t="s">
        <v>113</v>
      </c>
      <c r="H4" s="53"/>
      <c r="I4" s="53"/>
      <c r="J4" s="53"/>
      <c r="K4" s="53"/>
      <c r="L4" s="53"/>
    </row>
    <row r="5" spans="1:12">
      <c r="H5" s="53"/>
      <c r="I5" s="53"/>
      <c r="J5" s="53"/>
      <c r="K5" s="53"/>
      <c r="L5" s="53"/>
    </row>
    <row r="6" spans="1:12">
      <c r="B6" s="7" t="s">
        <v>37</v>
      </c>
      <c r="C6" s="7" t="s">
        <v>38</v>
      </c>
      <c r="D6" s="7" t="s">
        <v>39</v>
      </c>
      <c r="E6" s="7" t="s">
        <v>40</v>
      </c>
      <c r="F6" s="7" t="s">
        <v>41</v>
      </c>
      <c r="G6" t="s">
        <v>150</v>
      </c>
      <c r="I6" s="53"/>
      <c r="J6" s="53"/>
      <c r="K6" s="53"/>
      <c r="L6" s="53"/>
    </row>
    <row r="7" spans="1:12" ht="42">
      <c r="A7" s="136" t="s">
        <v>10</v>
      </c>
      <c r="B7" s="8" t="s">
        <v>37</v>
      </c>
      <c r="C7" s="8" t="s">
        <v>38</v>
      </c>
      <c r="D7" s="8" t="s">
        <v>39</v>
      </c>
      <c r="E7" s="8" t="s">
        <v>40</v>
      </c>
      <c r="F7" s="8" t="s">
        <v>41</v>
      </c>
      <c r="G7" s="53" t="s">
        <v>150</v>
      </c>
      <c r="H7" s="8" t="s">
        <v>11</v>
      </c>
      <c r="J7" s="53"/>
      <c r="K7" s="53"/>
      <c r="L7" s="53"/>
    </row>
    <row r="8" spans="1:12">
      <c r="A8" s="7">
        <v>0.1</v>
      </c>
      <c r="B8" s="103">
        <v>59.5</v>
      </c>
      <c r="C8" s="103">
        <v>110.3</v>
      </c>
      <c r="D8" s="103">
        <v>162</v>
      </c>
      <c r="E8" s="103">
        <v>191.7</v>
      </c>
      <c r="F8" s="103">
        <v>226.1</v>
      </c>
      <c r="G8" s="53">
        <v>302.5</v>
      </c>
      <c r="H8" s="9">
        <f>'Atomization Model'!$E$19</f>
        <v>132.90793807863813</v>
      </c>
      <c r="J8" s="53"/>
      <c r="K8" s="53"/>
      <c r="L8" s="53"/>
    </row>
    <row r="9" spans="1:12">
      <c r="A9" s="7">
        <v>0.5</v>
      </c>
      <c r="B9" s="103">
        <v>134.4</v>
      </c>
      <c r="C9" s="103">
        <v>248.1</v>
      </c>
      <c r="D9" s="103">
        <v>357.8</v>
      </c>
      <c r="E9" s="103">
        <v>431</v>
      </c>
      <c r="F9" s="103">
        <v>500.9</v>
      </c>
      <c r="G9" s="53">
        <v>658.6</v>
      </c>
      <c r="H9" s="9">
        <f>'Atomization Model'!$E$20</f>
        <v>274.77977085606369</v>
      </c>
      <c r="J9" s="53"/>
      <c r="K9" s="53"/>
      <c r="L9" s="53"/>
    </row>
    <row r="10" spans="1:12">
      <c r="A10" s="7">
        <v>0.9</v>
      </c>
      <c r="B10" s="103">
        <v>236.4</v>
      </c>
      <c r="C10" s="103">
        <v>409.4</v>
      </c>
      <c r="D10" s="103">
        <v>584</v>
      </c>
      <c r="E10" s="103">
        <v>737.1</v>
      </c>
      <c r="F10" s="103">
        <v>819.8</v>
      </c>
      <c r="G10" s="53">
        <v>1142.2</v>
      </c>
      <c r="H10" s="9">
        <f>'Atomization Model'!$E$21</f>
        <v>478.08820095903155</v>
      </c>
      <c r="J10" s="53"/>
      <c r="K10" s="53"/>
      <c r="L10" s="53"/>
    </row>
    <row r="11" spans="1:12">
      <c r="D11" s="53"/>
      <c r="E11" s="53"/>
      <c r="F11" s="53"/>
      <c r="G11" s="53"/>
      <c r="H11" s="53"/>
      <c r="I11" s="53"/>
      <c r="J11" s="53"/>
      <c r="K11" s="53"/>
      <c r="L11" s="53"/>
    </row>
    <row r="12" spans="1:12">
      <c r="D12" s="53"/>
      <c r="E12" s="53"/>
      <c r="F12" s="53"/>
      <c r="G12" s="53"/>
      <c r="H12" s="53"/>
      <c r="I12" s="53"/>
      <c r="J12" s="53"/>
      <c r="K12" s="53"/>
      <c r="L12" s="53"/>
    </row>
    <row r="13" spans="1:12">
      <c r="A13" s="7" t="s">
        <v>42</v>
      </c>
      <c r="B13" s="55" t="str">
        <f>IF(H8&gt;=G8, "ULT. COARSE", IF(H8&gt;=F8,"EXT. COARSE",IF(H8&gt;=E8,"VERY COARSE",IF(H8&gt;=D8,"COARSE",IF(H8&gt;=C8,"MEDIUM",IF(H8&gt;=B8,"FINE",IF(H8&gt;=0,"VERY FINE")))))))</f>
        <v>MEDIUM</v>
      </c>
      <c r="C13" s="55">
        <f>IF(H8&gt;=G8, 7, IF(H8&gt;=F8,6,IF(H8&gt;=E8,5,IF(H8&gt;=D8,4,IF(H8&gt;=C8,3,IF(H8&gt;=B8,2,IF(H8&gt;=0,1)))))))</f>
        <v>3</v>
      </c>
      <c r="D13" s="53"/>
      <c r="E13" s="50"/>
      <c r="F13" s="53"/>
      <c r="G13" s="53"/>
      <c r="H13" s="53"/>
      <c r="I13" s="53"/>
      <c r="J13" s="53"/>
      <c r="K13" s="53"/>
      <c r="L13" s="53"/>
    </row>
    <row r="14" spans="1:12">
      <c r="A14" s="7" t="s">
        <v>43</v>
      </c>
      <c r="B14" s="55" t="str">
        <f>IF(H9&gt;=G9, "ULT. COARSE", IF(H9&gt;=F9,"EXT. COARSE",IF(H9&gt;=E9,"VERY COARSE",IF(H9&gt;=D9,"COARSE",IF(H9&gt;=C9,"MEDIUM",IF(H9&gt;=B9,"FINE",IF(H9&gt;=0,"VERY FINE")))))))</f>
        <v>MEDIUM</v>
      </c>
      <c r="C14" s="55">
        <f t="shared" ref="C14:C15" si="0">IF(H9&gt;=G9, 7, IF(H9&gt;=F9,6,IF(H9&gt;=E9,5,IF(H9&gt;=D9,4,IF(H9&gt;=C9,3,IF(H9&gt;=B9,2,IF(H9&gt;=0,1)))))))</f>
        <v>3</v>
      </c>
      <c r="D14" s="53"/>
      <c r="E14" s="53"/>
      <c r="F14" s="53"/>
      <c r="G14" s="53"/>
      <c r="H14" s="53"/>
      <c r="I14" s="53"/>
      <c r="J14" s="53"/>
      <c r="K14" s="53"/>
      <c r="L14" s="53"/>
    </row>
    <row r="15" spans="1:12">
      <c r="A15" s="7" t="s">
        <v>108</v>
      </c>
      <c r="B15" s="55" t="str">
        <f>IF(H10&gt;=G10, "ULT. COARSE", IF(H10&gt;=F10,"EXT. COARSE",IF(H10&gt;=E10,"VERY COARSE",IF(H10&gt;=D10,"COARSE",IF(H10&gt;=C10,"MEDIUM",IF(H10&gt;=B10,"FINE",IF(H10&gt;=0,"VERY FINE")))))))</f>
        <v>MEDIUM</v>
      </c>
      <c r="C15" s="55">
        <f t="shared" si="0"/>
        <v>3</v>
      </c>
      <c r="D15" s="53"/>
      <c r="E15" s="53"/>
      <c r="F15" s="53"/>
      <c r="G15" s="53"/>
      <c r="H15" s="53"/>
      <c r="I15" s="53"/>
      <c r="J15" s="53"/>
      <c r="K15" s="53"/>
      <c r="L15" s="53"/>
    </row>
    <row r="16" spans="1:12">
      <c r="A16" s="7" t="s">
        <v>44</v>
      </c>
      <c r="B16" t="str">
        <f>CHOOSE(MIN(C13:C14),"VERY FINE","FINE","MEDIUM","COARSE","VERY COARSE","EXT. COARSE", "ULT. COARSE")</f>
        <v>MEDIUM</v>
      </c>
      <c r="D16" s="53"/>
      <c r="E16" s="53"/>
      <c r="F16" s="53"/>
      <c r="G16" s="53"/>
      <c r="H16" s="53"/>
      <c r="I16" s="53"/>
      <c r="J16" s="53"/>
      <c r="K16" s="53"/>
      <c r="L16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Atomization Model</vt:lpstr>
      <vt:lpstr>Model Parameters</vt:lpstr>
      <vt:lpstr>Reference Nozzles</vt:lpstr>
      <vt:lpstr>Nozzle Flow Rates</vt:lpstr>
      <vt:lpstr>Reference Nozzles S572.3</vt:lpstr>
      <vt:lpstr>Airspeed</vt:lpstr>
      <vt:lpstr>Airspeeds</vt:lpstr>
      <vt:lpstr>Angle</vt:lpstr>
      <vt:lpstr>CCDFactors</vt:lpstr>
      <vt:lpstr>DV0.1</vt:lpstr>
      <vt:lpstr>DV0.5</vt:lpstr>
      <vt:lpstr>DV0.9</vt:lpstr>
      <vt:lpstr>Fixed_Wing___40°_FF_Lg_Orifice</vt:lpstr>
      <vt:lpstr>FW40FFLG</vt:lpstr>
      <vt:lpstr>Less100</vt:lpstr>
      <vt:lpstr>Less200</vt:lpstr>
      <vt:lpstr>NFRTab</vt:lpstr>
      <vt:lpstr>Orifice</vt:lpstr>
      <vt:lpstr>'Atomization Model'!Print_Area</vt:lpstr>
    </vt:vector>
  </TitlesOfParts>
  <Company>ARS, 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Reviewer</cp:lastModifiedBy>
  <cp:lastPrinted>2011-01-11T13:39:02Z</cp:lastPrinted>
  <dcterms:created xsi:type="dcterms:W3CDTF">1998-11-30T16:43:08Z</dcterms:created>
  <dcterms:modified xsi:type="dcterms:W3CDTF">2022-11-30T14:09:56Z</dcterms:modified>
</cp:coreProperties>
</file>